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https://barnsleycouncil-my.sharepoint.com/personal/christopherroddison_barnsley_gov_uk/Documents/Desktop/Accessibility/"/>
    </mc:Choice>
  </mc:AlternateContent>
  <xr:revisionPtr revIDLastSave="0" documentId="13_ncr:1_{0EAE1A0B-8F4A-4775-9AFE-145FB5413456}" xr6:coauthVersionLast="44" xr6:coauthVersionMax="44" xr10:uidLastSave="{00000000-0000-0000-0000-000000000000}"/>
  <bookViews>
    <workbookView xWindow="20370" yWindow="-120" windowWidth="38640" windowHeight="15840" firstSheet="2" activeTab="2" xr2:uid="{00000000-000D-0000-FFFF-FFFF00000000}"/>
  </bookViews>
  <sheets>
    <sheet name="Sheet1" sheetId="1" state="hidden" r:id="rId1"/>
    <sheet name="WARD DATA" sheetId="2" state="hidden" r:id="rId2"/>
    <sheet name="Ward Selection" sheetId="3" r:id="rId3"/>
    <sheet name="Sheet3" sheetId="5" state="hidden" r:id="rId4"/>
    <sheet name="Sheet2" sheetId="4" state="hidden" r:id="rId5"/>
    <sheet name="Population &amp; Ethnicity" sheetId="6" r:id="rId6"/>
    <sheet name="Household Information" sheetId="7" r:id="rId7"/>
    <sheet name="Health" sheetId="8" r:id="rId8"/>
    <sheet name="Education &amp; Work" sheetId="9" r:id="rId9"/>
    <sheet name="Sheet8" sheetId="10" state="hidden" r:id="rId10"/>
    <sheet name="Sheet4" sheetId="11" state="hidden" r:id="rId11"/>
  </sheets>
  <definedNames>
    <definedName name="_xlnm._FilterDatabase" localSheetId="2" hidden="1">'Ward Selection'!$B$1:$B$289</definedName>
    <definedName name="_xlnm.Print_Titles" localSheetId="8">'Education &amp; Work'!$1:$3</definedName>
    <definedName name="_xlnm.Print_Titles" localSheetId="6">'Household Information'!$1:$3</definedName>
    <definedName name="_xlnm.Print_Titles" localSheetId="5">'Population &amp; Ethnicity'!$1:$3</definedName>
    <definedName name="_xlnm.Print_Titles" localSheetId="2">'Ward Selection'!$3:$5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68" i="7" l="1"/>
  <c r="K67" i="7"/>
  <c r="K66" i="7"/>
  <c r="I68" i="7"/>
  <c r="I67" i="7"/>
  <c r="I66" i="7"/>
  <c r="G68" i="7"/>
  <c r="G67" i="7"/>
  <c r="G66" i="7"/>
  <c r="E68" i="7"/>
  <c r="E67" i="7"/>
  <c r="E66" i="7"/>
  <c r="I20" i="7"/>
  <c r="G20" i="7"/>
  <c r="E20" i="7"/>
  <c r="K23" i="6"/>
  <c r="K22" i="6"/>
  <c r="I23" i="6"/>
  <c r="I22" i="6"/>
  <c r="G23" i="6"/>
  <c r="G22" i="6"/>
  <c r="E23" i="6"/>
  <c r="E22" i="6"/>
  <c r="K11" i="6"/>
  <c r="K10" i="6"/>
  <c r="K9" i="6"/>
  <c r="I11" i="6"/>
  <c r="I10" i="6"/>
  <c r="I9" i="6"/>
  <c r="G11" i="6"/>
  <c r="G10" i="6"/>
  <c r="G9" i="6"/>
  <c r="E11" i="6"/>
  <c r="E10" i="6"/>
  <c r="E9" i="6"/>
  <c r="E52" i="4"/>
  <c r="F52" i="4"/>
  <c r="G52" i="4"/>
  <c r="H52" i="4"/>
  <c r="I52" i="4"/>
  <c r="J52" i="4"/>
  <c r="K52" i="4"/>
  <c r="L52" i="4"/>
  <c r="M52" i="4"/>
  <c r="N52" i="4"/>
  <c r="O52" i="4"/>
  <c r="P52" i="4"/>
  <c r="Q52" i="4"/>
  <c r="R52" i="4"/>
  <c r="S52" i="4"/>
  <c r="T52" i="4"/>
  <c r="U52" i="4"/>
  <c r="V52" i="4"/>
  <c r="W52" i="4"/>
  <c r="X52" i="4"/>
  <c r="Y52" i="4"/>
  <c r="Z52" i="4"/>
  <c r="AA52" i="4"/>
  <c r="E54" i="4"/>
  <c r="F54" i="4"/>
  <c r="G54" i="4"/>
  <c r="H54" i="4"/>
  <c r="I54" i="4"/>
  <c r="J54" i="4"/>
  <c r="K54" i="4"/>
  <c r="L54" i="4"/>
  <c r="M54" i="4"/>
  <c r="N54" i="4"/>
  <c r="O54" i="4"/>
  <c r="P54" i="4"/>
  <c r="Q54" i="4"/>
  <c r="R54" i="4"/>
  <c r="S54" i="4"/>
  <c r="T54" i="4"/>
  <c r="U54" i="4"/>
  <c r="V54" i="4"/>
  <c r="W54" i="4"/>
  <c r="X54" i="4"/>
  <c r="Y54" i="4"/>
  <c r="Z54" i="4"/>
  <c r="AA54" i="4"/>
  <c r="D54" i="4"/>
  <c r="D52" i="4"/>
  <c r="AA49" i="4"/>
  <c r="Z49" i="4"/>
  <c r="Y49" i="4"/>
  <c r="X49" i="4"/>
  <c r="W49" i="4"/>
  <c r="V49" i="4"/>
  <c r="U49" i="4"/>
  <c r="T49" i="4"/>
  <c r="S49" i="4"/>
  <c r="R49" i="4"/>
  <c r="Q49" i="4"/>
  <c r="P49" i="4"/>
  <c r="O49" i="4"/>
  <c r="N49" i="4"/>
  <c r="M49" i="4"/>
  <c r="L49" i="4"/>
  <c r="K49" i="4"/>
  <c r="J49" i="4"/>
  <c r="I49" i="4"/>
  <c r="H49" i="4"/>
  <c r="G49" i="4"/>
  <c r="F49" i="4"/>
  <c r="E49" i="4"/>
  <c r="D49" i="4"/>
  <c r="AA47" i="4"/>
  <c r="Z47" i="4"/>
  <c r="Y47" i="4"/>
  <c r="X47" i="4"/>
  <c r="W47" i="4"/>
  <c r="V47" i="4"/>
  <c r="U47" i="4"/>
  <c r="T47" i="4"/>
  <c r="S47" i="4"/>
  <c r="R47" i="4"/>
  <c r="Q47" i="4"/>
  <c r="P47" i="4"/>
  <c r="O47" i="4"/>
  <c r="N47" i="4"/>
  <c r="M47" i="4"/>
  <c r="L47" i="4"/>
  <c r="K47" i="4"/>
  <c r="J47" i="4"/>
  <c r="I47" i="4"/>
  <c r="H47" i="4"/>
  <c r="G47" i="4"/>
  <c r="F47" i="4"/>
  <c r="E47" i="4"/>
  <c r="D47" i="4"/>
  <c r="AA45" i="4"/>
  <c r="Z45" i="4"/>
  <c r="Y45" i="4"/>
  <c r="X45" i="4"/>
  <c r="W45" i="4"/>
  <c r="W46" i="4" s="1"/>
  <c r="V45" i="4"/>
  <c r="U45" i="4"/>
  <c r="T45" i="4"/>
  <c r="T46" i="4" s="1"/>
  <c r="S45" i="4"/>
  <c r="R45" i="4"/>
  <c r="R46" i="4"/>
  <c r="Q45" i="4"/>
  <c r="P45" i="4"/>
  <c r="O45" i="4"/>
  <c r="N45" i="4"/>
  <c r="M45" i="4"/>
  <c r="M46" i="4" s="1"/>
  <c r="L45" i="4"/>
  <c r="K45" i="4"/>
  <c r="K46" i="4" s="1"/>
  <c r="J45" i="4"/>
  <c r="I45" i="4"/>
  <c r="H45" i="4"/>
  <c r="G45" i="4"/>
  <c r="F45" i="4"/>
  <c r="E45" i="4"/>
  <c r="D45" i="4"/>
  <c r="D46" i="4"/>
  <c r="AA43" i="4"/>
  <c r="AA44" i="4" s="1"/>
  <c r="Z43" i="4"/>
  <c r="Y43" i="4"/>
  <c r="X43" i="4"/>
  <c r="X44" i="4" s="1"/>
  <c r="W43" i="4"/>
  <c r="V43" i="4"/>
  <c r="V44" i="4"/>
  <c r="U43" i="4"/>
  <c r="T43" i="4"/>
  <c r="S43" i="4"/>
  <c r="R43" i="4"/>
  <c r="Q43" i="4"/>
  <c r="P43" i="4"/>
  <c r="O43" i="4"/>
  <c r="N43" i="4"/>
  <c r="M43" i="4"/>
  <c r="L43" i="4"/>
  <c r="K43" i="4"/>
  <c r="J43" i="4"/>
  <c r="I43" i="4"/>
  <c r="H43" i="4"/>
  <c r="G43" i="4"/>
  <c r="F43" i="4"/>
  <c r="E43" i="4"/>
  <c r="D43" i="4"/>
  <c r="AA41" i="4"/>
  <c r="AA42" i="4" s="1"/>
  <c r="Z41" i="4"/>
  <c r="Z42" i="4" s="1"/>
  <c r="Y41" i="4"/>
  <c r="X41" i="4"/>
  <c r="W41" i="4"/>
  <c r="V41" i="4"/>
  <c r="V42" i="4" s="1"/>
  <c r="U41" i="4"/>
  <c r="T41" i="4"/>
  <c r="S41" i="4"/>
  <c r="S42" i="4" s="1"/>
  <c r="R41" i="4"/>
  <c r="Q41" i="4"/>
  <c r="P41" i="4"/>
  <c r="P42" i="4" s="1"/>
  <c r="O41" i="4"/>
  <c r="N41" i="4"/>
  <c r="M41" i="4"/>
  <c r="L41" i="4"/>
  <c r="K41" i="4"/>
  <c r="K42" i="4" s="1"/>
  <c r="J41" i="4"/>
  <c r="I41" i="4"/>
  <c r="H41" i="4"/>
  <c r="G41" i="4"/>
  <c r="F41" i="4"/>
  <c r="E41" i="4"/>
  <c r="D41" i="4"/>
  <c r="AA39" i="4"/>
  <c r="AA40" i="4" s="1"/>
  <c r="Z39" i="4"/>
  <c r="Y39" i="4"/>
  <c r="X39" i="4"/>
  <c r="W39" i="4"/>
  <c r="V39" i="4"/>
  <c r="V40" i="4" s="1"/>
  <c r="U39" i="4"/>
  <c r="T39" i="4"/>
  <c r="S39" i="4"/>
  <c r="R39" i="4"/>
  <c r="R40" i="4" s="1"/>
  <c r="Q39" i="4"/>
  <c r="P39" i="4"/>
  <c r="O39" i="4"/>
  <c r="N39" i="4"/>
  <c r="M39" i="4"/>
  <c r="L39" i="4"/>
  <c r="K39" i="4"/>
  <c r="K40" i="4" s="1"/>
  <c r="J39" i="4"/>
  <c r="I39" i="4"/>
  <c r="H39" i="4"/>
  <c r="G39" i="4"/>
  <c r="F39" i="4"/>
  <c r="E39" i="4"/>
  <c r="D39" i="4"/>
  <c r="D40" i="4"/>
  <c r="AA37" i="4"/>
  <c r="AA38" i="4" s="1"/>
  <c r="Z37" i="4"/>
  <c r="Y37" i="4"/>
  <c r="X37" i="4"/>
  <c r="X38" i="4" s="1"/>
  <c r="W37" i="4"/>
  <c r="V37" i="4"/>
  <c r="V38" i="4"/>
  <c r="U37" i="4"/>
  <c r="T37" i="4"/>
  <c r="S37" i="4"/>
  <c r="R37" i="4"/>
  <c r="Q37" i="4"/>
  <c r="P37" i="4"/>
  <c r="O37" i="4"/>
  <c r="N37" i="4"/>
  <c r="N38" i="4" s="1"/>
  <c r="M37" i="4"/>
  <c r="L37" i="4"/>
  <c r="K37" i="4"/>
  <c r="J37" i="4"/>
  <c r="I37" i="4"/>
  <c r="H37" i="4"/>
  <c r="G37" i="4"/>
  <c r="F37" i="4"/>
  <c r="E37" i="4"/>
  <c r="D37" i="4"/>
  <c r="AA35" i="4"/>
  <c r="AA36" i="4" s="1"/>
  <c r="Z35" i="4"/>
  <c r="Z36" i="4" s="1"/>
  <c r="Y35" i="4"/>
  <c r="X35" i="4"/>
  <c r="W35" i="4"/>
  <c r="V35" i="4"/>
  <c r="V36" i="4" s="1"/>
  <c r="U35" i="4"/>
  <c r="T35" i="4"/>
  <c r="S35" i="4"/>
  <c r="R35" i="4"/>
  <c r="Q35" i="4"/>
  <c r="P35" i="4"/>
  <c r="P36" i="4" s="1"/>
  <c r="O35" i="4"/>
  <c r="N35" i="4"/>
  <c r="M35" i="4"/>
  <c r="L35" i="4"/>
  <c r="K35" i="4"/>
  <c r="J35" i="4"/>
  <c r="I35" i="4"/>
  <c r="H35" i="4"/>
  <c r="G35" i="4"/>
  <c r="F35" i="4"/>
  <c r="E35" i="4"/>
  <c r="D35" i="4"/>
  <c r="AA34" i="4"/>
  <c r="Z34" i="4"/>
  <c r="Y34" i="4"/>
  <c r="Y46" i="4" s="1"/>
  <c r="X34" i="4"/>
  <c r="X46" i="4" s="1"/>
  <c r="W34" i="4"/>
  <c r="W44" i="4"/>
  <c r="V34" i="4"/>
  <c r="V46" i="4" s="1"/>
  <c r="U34" i="4"/>
  <c r="U46" i="4" s="1"/>
  <c r="T34" i="4"/>
  <c r="T44" i="4" s="1"/>
  <c r="S34" i="4"/>
  <c r="S44" i="4" s="1"/>
  <c r="R34" i="4"/>
  <c r="R36" i="4" s="1"/>
  <c r="Q34" i="4"/>
  <c r="Q46" i="4"/>
  <c r="P34" i="4"/>
  <c r="O34" i="4"/>
  <c r="O46" i="4" s="1"/>
  <c r="N34" i="4"/>
  <c r="M34" i="4"/>
  <c r="L34" i="4"/>
  <c r="L42" i="4" s="1"/>
  <c r="K34" i="4"/>
  <c r="J34" i="4"/>
  <c r="J46" i="4" s="1"/>
  <c r="I34" i="4"/>
  <c r="I46" i="4" s="1"/>
  <c r="H34" i="4"/>
  <c r="G34" i="4"/>
  <c r="F34" i="4"/>
  <c r="E34" i="4"/>
  <c r="E46" i="4" s="1"/>
  <c r="D34" i="4"/>
  <c r="D36" i="4" s="1"/>
  <c r="K291" i="3"/>
  <c r="K101" i="9" s="1"/>
  <c r="J303" i="3"/>
  <c r="J113" i="9" s="1"/>
  <c r="J302" i="3"/>
  <c r="J112" i="9" s="1"/>
  <c r="J301" i="3"/>
  <c r="J111" i="9" s="1"/>
  <c r="J300" i="3"/>
  <c r="J110" i="9" s="1"/>
  <c r="J299" i="3"/>
  <c r="J109" i="9" s="1"/>
  <c r="J298" i="3"/>
  <c r="J108" i="9" s="1"/>
  <c r="J297" i="3"/>
  <c r="J107" i="9" s="1"/>
  <c r="J296" i="3"/>
  <c r="J106" i="9" s="1"/>
  <c r="J295" i="3"/>
  <c r="J105" i="9" s="1"/>
  <c r="J294" i="3"/>
  <c r="J104" i="9" s="1"/>
  <c r="J293" i="3"/>
  <c r="J103" i="9" s="1"/>
  <c r="J292" i="3"/>
  <c r="J102" i="9" s="1"/>
  <c r="J291" i="3"/>
  <c r="J101" i="9" s="1"/>
  <c r="F303" i="3"/>
  <c r="F113" i="9" s="1"/>
  <c r="F302" i="3"/>
  <c r="F112" i="9" s="1"/>
  <c r="F301" i="3"/>
  <c r="F111" i="9" s="1"/>
  <c r="F300" i="3"/>
  <c r="F110" i="9" s="1"/>
  <c r="F299" i="3"/>
  <c r="F109" i="9" s="1"/>
  <c r="F298" i="3"/>
  <c r="F108" i="9" s="1"/>
  <c r="F297" i="3"/>
  <c r="F107" i="9" s="1"/>
  <c r="F296" i="3"/>
  <c r="F106" i="9" s="1"/>
  <c r="F295" i="3"/>
  <c r="F105" i="9" s="1"/>
  <c r="F294" i="3"/>
  <c r="F104" i="9"/>
  <c r="F293" i="3"/>
  <c r="F103" i="9" s="1"/>
  <c r="F292" i="3"/>
  <c r="F102" i="9" s="1"/>
  <c r="G291" i="3"/>
  <c r="G101" i="9" s="1"/>
  <c r="F291" i="3"/>
  <c r="F101" i="9" s="1"/>
  <c r="H303" i="3"/>
  <c r="H113" i="9" s="1"/>
  <c r="H302" i="3"/>
  <c r="H112" i="9" s="1"/>
  <c r="H301" i="3"/>
  <c r="H111" i="9" s="1"/>
  <c r="H300" i="3"/>
  <c r="H110" i="9" s="1"/>
  <c r="H299" i="3"/>
  <c r="H109" i="9" s="1"/>
  <c r="H298" i="3"/>
  <c r="H108" i="9" s="1"/>
  <c r="H297" i="3"/>
  <c r="H107" i="9" s="1"/>
  <c r="H296" i="3"/>
  <c r="H106" i="9" s="1"/>
  <c r="H295" i="3"/>
  <c r="H105" i="9" s="1"/>
  <c r="H294" i="3"/>
  <c r="H104" i="9" s="1"/>
  <c r="H293" i="3"/>
  <c r="H103" i="9" s="1"/>
  <c r="H292" i="3"/>
  <c r="H102" i="9" s="1"/>
  <c r="I291" i="3"/>
  <c r="I101" i="9" s="1"/>
  <c r="H291" i="3"/>
  <c r="H101" i="9" s="1"/>
  <c r="E291" i="3"/>
  <c r="E101" i="9" s="1"/>
  <c r="D303" i="3"/>
  <c r="D113" i="9" s="1"/>
  <c r="D302" i="3"/>
  <c r="D112" i="9" s="1"/>
  <c r="D301" i="3"/>
  <c r="D111" i="9" s="1"/>
  <c r="D300" i="3"/>
  <c r="D110" i="9" s="1"/>
  <c r="D299" i="3"/>
  <c r="D109" i="9" s="1"/>
  <c r="D298" i="3"/>
  <c r="D108" i="9" s="1"/>
  <c r="D297" i="3"/>
  <c r="D107" i="9" s="1"/>
  <c r="D296" i="3"/>
  <c r="D106" i="9" s="1"/>
  <c r="D295" i="3"/>
  <c r="D105" i="9" s="1"/>
  <c r="D294" i="3"/>
  <c r="D104" i="9" s="1"/>
  <c r="D293" i="3"/>
  <c r="D103" i="9" s="1"/>
  <c r="D292" i="3"/>
  <c r="D102" i="9" s="1"/>
  <c r="D291" i="3"/>
  <c r="D101" i="9" s="1"/>
  <c r="E577" i="2"/>
  <c r="G303" i="3" s="1"/>
  <c r="G113" i="9" s="1"/>
  <c r="F577" i="2"/>
  <c r="I303" i="3" s="1"/>
  <c r="I113" i="9" s="1"/>
  <c r="G577" i="2"/>
  <c r="H577" i="2"/>
  <c r="I577" i="2"/>
  <c r="J577" i="2"/>
  <c r="K577" i="2"/>
  <c r="L577" i="2"/>
  <c r="M577" i="2"/>
  <c r="N577" i="2"/>
  <c r="O577" i="2"/>
  <c r="P577" i="2"/>
  <c r="Q577" i="2"/>
  <c r="R577" i="2"/>
  <c r="S577" i="2"/>
  <c r="T577" i="2"/>
  <c r="U577" i="2"/>
  <c r="V577" i="2"/>
  <c r="W577" i="2"/>
  <c r="X577" i="2"/>
  <c r="K303" i="3"/>
  <c r="K113" i="9" s="1"/>
  <c r="Y577" i="2"/>
  <c r="Z577" i="2"/>
  <c r="AA577" i="2"/>
  <c r="D577" i="2"/>
  <c r="E303" i="3" s="1"/>
  <c r="E113" i="9" s="1"/>
  <c r="E575" i="2"/>
  <c r="G302" i="3" s="1"/>
  <c r="G112" i="9" s="1"/>
  <c r="F575" i="2"/>
  <c r="I302" i="3" s="1"/>
  <c r="I112" i="9" s="1"/>
  <c r="G575" i="2"/>
  <c r="H575" i="2"/>
  <c r="I575" i="2"/>
  <c r="J575" i="2"/>
  <c r="K575" i="2"/>
  <c r="L575" i="2"/>
  <c r="M575" i="2"/>
  <c r="N575" i="2"/>
  <c r="O575" i="2"/>
  <c r="P575" i="2"/>
  <c r="Q575" i="2"/>
  <c r="R575" i="2"/>
  <c r="S575" i="2"/>
  <c r="T575" i="2"/>
  <c r="U575" i="2"/>
  <c r="V575" i="2"/>
  <c r="W575" i="2"/>
  <c r="X575" i="2"/>
  <c r="K302" i="3"/>
  <c r="K112" i="9" s="1"/>
  <c r="Y575" i="2"/>
  <c r="Z575" i="2"/>
  <c r="AA575" i="2"/>
  <c r="D575" i="2"/>
  <c r="E302" i="3" s="1"/>
  <c r="E112" i="9" s="1"/>
  <c r="E573" i="2"/>
  <c r="G301" i="3" s="1"/>
  <c r="G111" i="9" s="1"/>
  <c r="F573" i="2"/>
  <c r="I301" i="3" s="1"/>
  <c r="I111" i="9" s="1"/>
  <c r="G573" i="2"/>
  <c r="H573" i="2"/>
  <c r="I573" i="2"/>
  <c r="J573" i="2"/>
  <c r="K573" i="2"/>
  <c r="L573" i="2"/>
  <c r="M573" i="2"/>
  <c r="N573" i="2"/>
  <c r="O573" i="2"/>
  <c r="P573" i="2"/>
  <c r="Q573" i="2"/>
  <c r="R573" i="2"/>
  <c r="S573" i="2"/>
  <c r="T573" i="2"/>
  <c r="U573" i="2"/>
  <c r="K301" i="3" s="1"/>
  <c r="K111" i="9" s="1"/>
  <c r="V573" i="2"/>
  <c r="W573" i="2"/>
  <c r="X573" i="2"/>
  <c r="Y573" i="2"/>
  <c r="Z573" i="2"/>
  <c r="AA573" i="2"/>
  <c r="D573" i="2"/>
  <c r="E301" i="3" s="1"/>
  <c r="E111" i="9" s="1"/>
  <c r="E571" i="2"/>
  <c r="G300" i="3" s="1"/>
  <c r="G110" i="9" s="1"/>
  <c r="F571" i="2"/>
  <c r="I300" i="3" s="1"/>
  <c r="I110" i="9" s="1"/>
  <c r="G571" i="2"/>
  <c r="H571" i="2"/>
  <c r="I571" i="2"/>
  <c r="J571" i="2"/>
  <c r="K571" i="2"/>
  <c r="L571" i="2"/>
  <c r="M571" i="2"/>
  <c r="N571" i="2"/>
  <c r="O571" i="2"/>
  <c r="P571" i="2"/>
  <c r="Q571" i="2"/>
  <c r="R571" i="2"/>
  <c r="S571" i="2"/>
  <c r="T571" i="2"/>
  <c r="U571" i="2"/>
  <c r="K300" i="3" s="1"/>
  <c r="K110" i="9" s="1"/>
  <c r="V571" i="2"/>
  <c r="W571" i="2"/>
  <c r="X571" i="2"/>
  <c r="Y571" i="2"/>
  <c r="Z571" i="2"/>
  <c r="AA571" i="2"/>
  <c r="D571" i="2"/>
  <c r="E300" i="3" s="1"/>
  <c r="E110" i="9" s="1"/>
  <c r="E569" i="2"/>
  <c r="G299" i="3" s="1"/>
  <c r="G109" i="9"/>
  <c r="F569" i="2"/>
  <c r="I299" i="3" s="1"/>
  <c r="I109" i="9" s="1"/>
  <c r="G569" i="2"/>
  <c r="H569" i="2"/>
  <c r="I569" i="2"/>
  <c r="J569" i="2"/>
  <c r="K569" i="2"/>
  <c r="L569" i="2"/>
  <c r="M569" i="2"/>
  <c r="N569" i="2"/>
  <c r="O569" i="2"/>
  <c r="P569" i="2"/>
  <c r="Q569" i="2"/>
  <c r="R569" i="2"/>
  <c r="S569" i="2"/>
  <c r="T569" i="2"/>
  <c r="U569" i="2"/>
  <c r="V569" i="2"/>
  <c r="W569" i="2"/>
  <c r="X569" i="2"/>
  <c r="K299" i="3"/>
  <c r="K109" i="9" s="1"/>
  <c r="Y569" i="2"/>
  <c r="Z569" i="2"/>
  <c r="AA569" i="2"/>
  <c r="D569" i="2"/>
  <c r="E299" i="3"/>
  <c r="E109" i="9" s="1"/>
  <c r="E567" i="2"/>
  <c r="G298" i="3" s="1"/>
  <c r="G108" i="9"/>
  <c r="F567" i="2"/>
  <c r="I298" i="3" s="1"/>
  <c r="I108" i="9" s="1"/>
  <c r="G567" i="2"/>
  <c r="H567" i="2"/>
  <c r="I567" i="2"/>
  <c r="J567" i="2"/>
  <c r="K567" i="2"/>
  <c r="L567" i="2"/>
  <c r="M567" i="2"/>
  <c r="N567" i="2"/>
  <c r="O567" i="2"/>
  <c r="P567" i="2"/>
  <c r="Q567" i="2"/>
  <c r="R567" i="2"/>
  <c r="S567" i="2"/>
  <c r="T567" i="2"/>
  <c r="U567" i="2"/>
  <c r="K298" i="3" s="1"/>
  <c r="K108" i="9" s="1"/>
  <c r="V567" i="2"/>
  <c r="W567" i="2"/>
  <c r="X567" i="2"/>
  <c r="Y567" i="2"/>
  <c r="Z567" i="2"/>
  <c r="AA567" i="2"/>
  <c r="D567" i="2"/>
  <c r="E298" i="3" s="1"/>
  <c r="E108" i="9" s="1"/>
  <c r="E565" i="2"/>
  <c r="G297" i="3" s="1"/>
  <c r="G107" i="9" s="1"/>
  <c r="F565" i="2"/>
  <c r="I297" i="3" s="1"/>
  <c r="I107" i="9" s="1"/>
  <c r="G565" i="2"/>
  <c r="H565" i="2"/>
  <c r="I565" i="2"/>
  <c r="J565" i="2"/>
  <c r="K565" i="2"/>
  <c r="L565" i="2"/>
  <c r="M565" i="2"/>
  <c r="N565" i="2"/>
  <c r="O565" i="2"/>
  <c r="P565" i="2"/>
  <c r="Q565" i="2"/>
  <c r="R565" i="2"/>
  <c r="S565" i="2"/>
  <c r="T565" i="2"/>
  <c r="U565" i="2"/>
  <c r="K297" i="3" s="1"/>
  <c r="K107" i="9" s="1"/>
  <c r="V565" i="2"/>
  <c r="W565" i="2"/>
  <c r="X565" i="2"/>
  <c r="Y565" i="2"/>
  <c r="Z565" i="2"/>
  <c r="AA565" i="2"/>
  <c r="D565" i="2"/>
  <c r="E297" i="3" s="1"/>
  <c r="E107" i="9" s="1"/>
  <c r="E563" i="2"/>
  <c r="G296" i="3" s="1"/>
  <c r="G106" i="9" s="1"/>
  <c r="F563" i="2"/>
  <c r="I296" i="3"/>
  <c r="I106" i="9" s="1"/>
  <c r="G563" i="2"/>
  <c r="H563" i="2"/>
  <c r="I563" i="2"/>
  <c r="J563" i="2"/>
  <c r="K563" i="2"/>
  <c r="L563" i="2"/>
  <c r="M563" i="2"/>
  <c r="N563" i="2"/>
  <c r="O563" i="2"/>
  <c r="P563" i="2"/>
  <c r="Q563" i="2"/>
  <c r="R563" i="2"/>
  <c r="S563" i="2"/>
  <c r="T563" i="2"/>
  <c r="U563" i="2"/>
  <c r="K296" i="3" s="1"/>
  <c r="K106" i="9" s="1"/>
  <c r="V563" i="2"/>
  <c r="W563" i="2"/>
  <c r="X563" i="2"/>
  <c r="Y563" i="2"/>
  <c r="Z563" i="2"/>
  <c r="AA563" i="2"/>
  <c r="D563" i="2"/>
  <c r="E296" i="3"/>
  <c r="E106" i="9" s="1"/>
  <c r="E561" i="2"/>
  <c r="G295" i="3" s="1"/>
  <c r="G105" i="9" s="1"/>
  <c r="F561" i="2"/>
  <c r="I295" i="3"/>
  <c r="I105" i="9" s="1"/>
  <c r="G561" i="2"/>
  <c r="H561" i="2"/>
  <c r="I561" i="2"/>
  <c r="J561" i="2"/>
  <c r="K561" i="2"/>
  <c r="L561" i="2"/>
  <c r="M561" i="2"/>
  <c r="N561" i="2"/>
  <c r="O561" i="2"/>
  <c r="P561" i="2"/>
  <c r="Q561" i="2"/>
  <c r="R561" i="2"/>
  <c r="S561" i="2"/>
  <c r="T561" i="2"/>
  <c r="U561" i="2"/>
  <c r="K295" i="3" s="1"/>
  <c r="K105" i="9" s="1"/>
  <c r="V561" i="2"/>
  <c r="W561" i="2"/>
  <c r="X561" i="2"/>
  <c r="Y561" i="2"/>
  <c r="Z561" i="2"/>
  <c r="AA561" i="2"/>
  <c r="D561" i="2"/>
  <c r="E295" i="3" s="1"/>
  <c r="E105" i="9" s="1"/>
  <c r="E559" i="2"/>
  <c r="G294" i="3" s="1"/>
  <c r="G104" i="9"/>
  <c r="F559" i="2"/>
  <c r="I294" i="3"/>
  <c r="I104" i="9" s="1"/>
  <c r="G559" i="2"/>
  <c r="H559" i="2"/>
  <c r="I559" i="2"/>
  <c r="J559" i="2"/>
  <c r="K559" i="2"/>
  <c r="L559" i="2"/>
  <c r="M559" i="2"/>
  <c r="N559" i="2"/>
  <c r="O559" i="2"/>
  <c r="P559" i="2"/>
  <c r="Q559" i="2"/>
  <c r="R559" i="2"/>
  <c r="S559" i="2"/>
  <c r="T559" i="2"/>
  <c r="U559" i="2"/>
  <c r="V559" i="2"/>
  <c r="W559" i="2"/>
  <c r="X559" i="2"/>
  <c r="K294" i="3"/>
  <c r="K104" i="9" s="1"/>
  <c r="Y559" i="2"/>
  <c r="Z559" i="2"/>
  <c r="AA559" i="2"/>
  <c r="D559" i="2"/>
  <c r="E294" i="3" s="1"/>
  <c r="E104" i="9" s="1"/>
  <c r="E557" i="2"/>
  <c r="G293" i="3" s="1"/>
  <c r="G103" i="9" s="1"/>
  <c r="F557" i="2"/>
  <c r="I293" i="3" s="1"/>
  <c r="I103" i="9" s="1"/>
  <c r="G557" i="2"/>
  <c r="H557" i="2"/>
  <c r="I557" i="2"/>
  <c r="J557" i="2"/>
  <c r="K557" i="2"/>
  <c r="L557" i="2"/>
  <c r="M557" i="2"/>
  <c r="N557" i="2"/>
  <c r="O557" i="2"/>
  <c r="P557" i="2"/>
  <c r="Q557" i="2"/>
  <c r="R557" i="2"/>
  <c r="S557" i="2"/>
  <c r="T557" i="2"/>
  <c r="U557" i="2"/>
  <c r="K293" i="3" s="1"/>
  <c r="K103" i="9" s="1"/>
  <c r="V557" i="2"/>
  <c r="W557" i="2"/>
  <c r="X557" i="2"/>
  <c r="Y557" i="2"/>
  <c r="Z557" i="2"/>
  <c r="AA557" i="2"/>
  <c r="D557" i="2"/>
  <c r="E293" i="3" s="1"/>
  <c r="E103" i="9" s="1"/>
  <c r="E555" i="2"/>
  <c r="G292" i="3" s="1"/>
  <c r="G102" i="9" s="1"/>
  <c r="F555" i="2"/>
  <c r="I292" i="3" s="1"/>
  <c r="I102" i="9" s="1"/>
  <c r="G555" i="2"/>
  <c r="H555" i="2"/>
  <c r="I555" i="2"/>
  <c r="J555" i="2"/>
  <c r="K555" i="2"/>
  <c r="L555" i="2"/>
  <c r="M555" i="2"/>
  <c r="N555" i="2"/>
  <c r="O555" i="2"/>
  <c r="P555" i="2"/>
  <c r="Q555" i="2"/>
  <c r="R555" i="2"/>
  <c r="S555" i="2"/>
  <c r="T555" i="2"/>
  <c r="U555" i="2"/>
  <c r="K292" i="3" s="1"/>
  <c r="K102" i="9" s="1"/>
  <c r="V555" i="2"/>
  <c r="W555" i="2"/>
  <c r="X555" i="2"/>
  <c r="Y555" i="2"/>
  <c r="Z555" i="2"/>
  <c r="AA555" i="2"/>
  <c r="D555" i="2"/>
  <c r="E292" i="3" s="1"/>
  <c r="E102" i="9" s="1"/>
  <c r="D27" i="3"/>
  <c r="D25" i="6" s="1"/>
  <c r="E27" i="3"/>
  <c r="E25" i="6" s="1"/>
  <c r="F27" i="3"/>
  <c r="F25" i="6"/>
  <c r="G27" i="3"/>
  <c r="G25" i="6" s="1"/>
  <c r="H27" i="3"/>
  <c r="H25" i="6" s="1"/>
  <c r="I27" i="3"/>
  <c r="I25" i="6" s="1"/>
  <c r="J27" i="3"/>
  <c r="J25" i="6" s="1"/>
  <c r="K27" i="3"/>
  <c r="K25" i="6" s="1"/>
  <c r="K119" i="3"/>
  <c r="K4" i="7" s="1"/>
  <c r="K15" i="3"/>
  <c r="K13" i="6" s="1"/>
  <c r="H146" i="3"/>
  <c r="H31" i="7" s="1"/>
  <c r="F146" i="3"/>
  <c r="F31" i="7" s="1"/>
  <c r="D146" i="3"/>
  <c r="D31" i="7" s="1"/>
  <c r="K10" i="3"/>
  <c r="K8" i="6" s="1"/>
  <c r="K9" i="3"/>
  <c r="K7" i="6" s="1"/>
  <c r="K8" i="3"/>
  <c r="K6" i="6" s="1"/>
  <c r="K7" i="3"/>
  <c r="K5" i="6" s="1"/>
  <c r="K6" i="3"/>
  <c r="K4" i="6" s="1"/>
  <c r="K289" i="3"/>
  <c r="K99" i="9" s="1"/>
  <c r="K288" i="3"/>
  <c r="K98" i="9" s="1"/>
  <c r="K287" i="3"/>
  <c r="K97" i="9" s="1"/>
  <c r="K286" i="3"/>
  <c r="K96" i="9" s="1"/>
  <c r="K285" i="3"/>
  <c r="K95" i="9" s="1"/>
  <c r="K284" i="3"/>
  <c r="K94" i="9"/>
  <c r="K283" i="3"/>
  <c r="K93" i="9" s="1"/>
  <c r="K282" i="3"/>
  <c r="K92" i="9" s="1"/>
  <c r="K281" i="3"/>
  <c r="K91" i="9" s="1"/>
  <c r="K279" i="3"/>
  <c r="K89" i="9" s="1"/>
  <c r="K278" i="3"/>
  <c r="K88" i="9" s="1"/>
  <c r="K277" i="3"/>
  <c r="K87" i="9" s="1"/>
  <c r="K276" i="3"/>
  <c r="K86" i="9" s="1"/>
  <c r="K275" i="3"/>
  <c r="K85" i="9" s="1"/>
  <c r="K274" i="3"/>
  <c r="K84" i="9" s="1"/>
  <c r="K273" i="3"/>
  <c r="K83" i="9" s="1"/>
  <c r="K272" i="3"/>
  <c r="K82" i="9"/>
  <c r="K271" i="3"/>
  <c r="K81" i="9" s="1"/>
  <c r="K270" i="3"/>
  <c r="K80" i="9" s="1"/>
  <c r="K268" i="3"/>
  <c r="K78" i="9" s="1"/>
  <c r="K267" i="3"/>
  <c r="K77" i="9" s="1"/>
  <c r="K266" i="3"/>
  <c r="K76" i="9"/>
  <c r="K265" i="3"/>
  <c r="K75" i="9" s="1"/>
  <c r="K264" i="3"/>
  <c r="K74" i="9" s="1"/>
  <c r="K263" i="3"/>
  <c r="K73" i="9" s="1"/>
  <c r="K262" i="3"/>
  <c r="K72" i="9" s="1"/>
  <c r="K261" i="3"/>
  <c r="K71" i="9" s="1"/>
  <c r="K260" i="3"/>
  <c r="K70" i="9" s="1"/>
  <c r="K259" i="3"/>
  <c r="K69" i="9" s="1"/>
  <c r="K258" i="3"/>
  <c r="K68" i="9" s="1"/>
  <c r="K257" i="3"/>
  <c r="K67" i="9" s="1"/>
  <c r="K256" i="3"/>
  <c r="K66" i="9" s="1"/>
  <c r="K255" i="3"/>
  <c r="K65" i="9"/>
  <c r="K254" i="3"/>
  <c r="K64" i="9" s="1"/>
  <c r="K253" i="3"/>
  <c r="K63" i="9" s="1"/>
  <c r="K251" i="3"/>
  <c r="K61" i="9" s="1"/>
  <c r="K250" i="3"/>
  <c r="K60" i="9" s="1"/>
  <c r="K249" i="3"/>
  <c r="K59" i="9" s="1"/>
  <c r="K248" i="3"/>
  <c r="K58" i="9" s="1"/>
  <c r="K247" i="3"/>
  <c r="K57" i="9" s="1"/>
  <c r="K246" i="3"/>
  <c r="K56" i="9" s="1"/>
  <c r="K245" i="3"/>
  <c r="K55" i="9" s="1"/>
  <c r="K244" i="3"/>
  <c r="K54" i="9" s="1"/>
  <c r="K243" i="3"/>
  <c r="K53" i="9" s="1"/>
  <c r="K242" i="3"/>
  <c r="K52" i="9" s="1"/>
  <c r="K241" i="3"/>
  <c r="K51" i="9" s="1"/>
  <c r="K240" i="3"/>
  <c r="K50" i="9" s="1"/>
  <c r="K239" i="3"/>
  <c r="K49" i="9" s="1"/>
  <c r="K238" i="3"/>
  <c r="K48" i="9" s="1"/>
  <c r="K237" i="3"/>
  <c r="K47" i="9" s="1"/>
  <c r="K236" i="3"/>
  <c r="K46" i="9" s="1"/>
  <c r="K235" i="3"/>
  <c r="K45" i="9" s="1"/>
  <c r="K234" i="3"/>
  <c r="K44" i="9" s="1"/>
  <c r="K233" i="3"/>
  <c r="K43" i="9" s="1"/>
  <c r="K231" i="3"/>
  <c r="K41" i="9" s="1"/>
  <c r="K230" i="3"/>
  <c r="K40" i="9" s="1"/>
  <c r="K229" i="3"/>
  <c r="K39" i="9" s="1"/>
  <c r="K228" i="3"/>
  <c r="K38" i="9" s="1"/>
  <c r="K227" i="3"/>
  <c r="K37" i="9" s="1"/>
  <c r="K225" i="3"/>
  <c r="K35" i="9" s="1"/>
  <c r="K224" i="3"/>
  <c r="K34" i="9" s="1"/>
  <c r="K223" i="3"/>
  <c r="K33" i="9" s="1"/>
  <c r="K222" i="3"/>
  <c r="K32" i="9" s="1"/>
  <c r="K221" i="3"/>
  <c r="K31" i="9" s="1"/>
  <c r="K220" i="3"/>
  <c r="K30" i="9" s="1"/>
  <c r="K219" i="3"/>
  <c r="K29" i="9" s="1"/>
  <c r="K218" i="3"/>
  <c r="K28" i="9" s="1"/>
  <c r="K217" i="3"/>
  <c r="K27" i="9" s="1"/>
  <c r="K216" i="3"/>
  <c r="K26" i="9" s="1"/>
  <c r="K215" i="3"/>
  <c r="K25" i="9" s="1"/>
  <c r="K214" i="3"/>
  <c r="K24" i="9" s="1"/>
  <c r="K213" i="3"/>
  <c r="K23" i="9" s="1"/>
  <c r="K212" i="3"/>
  <c r="K22" i="9" s="1"/>
  <c r="K211" i="3"/>
  <c r="K21" i="9" s="1"/>
  <c r="K210" i="3"/>
  <c r="K20" i="9" s="1"/>
  <c r="K209" i="3"/>
  <c r="K19" i="9" s="1"/>
  <c r="K208" i="3"/>
  <c r="K18" i="9" s="1"/>
  <c r="K205" i="3"/>
  <c r="K90" i="7"/>
  <c r="K204" i="3"/>
  <c r="K89" i="7" s="1"/>
  <c r="K203" i="3"/>
  <c r="K88" i="7" s="1"/>
  <c r="K202" i="3"/>
  <c r="K87" i="7" s="1"/>
  <c r="K201" i="3"/>
  <c r="K86" i="7" s="1"/>
  <c r="K200" i="3"/>
  <c r="K85" i="7" s="1"/>
  <c r="K198" i="3"/>
  <c r="K83" i="7" s="1"/>
  <c r="K197" i="3"/>
  <c r="K82" i="7" s="1"/>
  <c r="K196" i="3"/>
  <c r="K81" i="7" s="1"/>
  <c r="K195" i="3"/>
  <c r="K80" i="7" s="1"/>
  <c r="K194" i="3"/>
  <c r="K79" i="7" s="1"/>
  <c r="K193" i="3"/>
  <c r="K78" i="7" s="1"/>
  <c r="K192" i="3"/>
  <c r="K77" i="7" s="1"/>
  <c r="K191" i="3"/>
  <c r="K76" i="7" s="1"/>
  <c r="K190" i="3"/>
  <c r="K75" i="7" s="1"/>
  <c r="K189" i="3"/>
  <c r="K74" i="7" s="1"/>
  <c r="K188" i="3"/>
  <c r="K73" i="7" s="1"/>
  <c r="K187" i="3"/>
  <c r="K72" i="7" s="1"/>
  <c r="K186" i="3"/>
  <c r="K71" i="7" s="1"/>
  <c r="K185" i="3"/>
  <c r="K70" i="7"/>
  <c r="K180" i="3"/>
  <c r="K65" i="7" s="1"/>
  <c r="K179" i="3"/>
  <c r="K64" i="7" s="1"/>
  <c r="K178" i="3"/>
  <c r="K63" i="7" s="1"/>
  <c r="K177" i="3"/>
  <c r="K62" i="7" s="1"/>
  <c r="K176" i="3"/>
  <c r="K61" i="7" s="1"/>
  <c r="K174" i="3"/>
  <c r="K59" i="7" s="1"/>
  <c r="K173" i="3"/>
  <c r="K58" i="7" s="1"/>
  <c r="K172" i="3"/>
  <c r="K57" i="7" s="1"/>
  <c r="K171" i="3"/>
  <c r="K56" i="7" s="1"/>
  <c r="K170" i="3"/>
  <c r="K55" i="7" s="1"/>
  <c r="K169" i="3"/>
  <c r="K54" i="7" s="1"/>
  <c r="K168" i="3"/>
  <c r="K53" i="7" s="1"/>
  <c r="K167" i="3"/>
  <c r="K52" i="7" s="1"/>
  <c r="K166" i="3"/>
  <c r="K51" i="7" s="1"/>
  <c r="K165" i="3"/>
  <c r="K50" i="7" s="1"/>
  <c r="K164" i="3"/>
  <c r="K49" i="7" s="1"/>
  <c r="K163" i="3"/>
  <c r="K48" i="7" s="1"/>
  <c r="K161" i="3"/>
  <c r="K46" i="7" s="1"/>
  <c r="K160" i="3"/>
  <c r="K45" i="7" s="1"/>
  <c r="K159" i="3"/>
  <c r="K44" i="7" s="1"/>
  <c r="K158" i="3"/>
  <c r="K43" i="7" s="1"/>
  <c r="K157" i="3"/>
  <c r="K42" i="7" s="1"/>
  <c r="K156" i="3"/>
  <c r="K41" i="7" s="1"/>
  <c r="K155" i="3"/>
  <c r="K40" i="7" s="1"/>
  <c r="K153" i="3"/>
  <c r="K38" i="7" s="1"/>
  <c r="K152" i="3"/>
  <c r="K37" i="7" s="1"/>
  <c r="K151" i="3"/>
  <c r="K36" i="7" s="1"/>
  <c r="K150" i="3"/>
  <c r="K35" i="7" s="1"/>
  <c r="K148" i="3"/>
  <c r="K33" i="7" s="1"/>
  <c r="K147" i="3"/>
  <c r="K32" i="7" s="1"/>
  <c r="K146" i="3"/>
  <c r="K31" i="7" s="1"/>
  <c r="K145" i="3"/>
  <c r="K30" i="7" s="1"/>
  <c r="K144" i="3"/>
  <c r="K29" i="7" s="1"/>
  <c r="K143" i="3"/>
  <c r="K28" i="7" s="1"/>
  <c r="K142" i="3"/>
  <c r="K27" i="7" s="1"/>
  <c r="K141" i="3"/>
  <c r="K26" i="7" s="1"/>
  <c r="K140" i="3"/>
  <c r="K25" i="7" s="1"/>
  <c r="K139" i="3"/>
  <c r="K24" i="7" s="1"/>
  <c r="K138" i="3"/>
  <c r="K23" i="7"/>
  <c r="K137" i="3"/>
  <c r="K22" i="7" s="1"/>
  <c r="K136" i="3"/>
  <c r="K21" i="7" s="1"/>
  <c r="K135" i="3"/>
  <c r="K20" i="7" s="1"/>
  <c r="K133" i="3"/>
  <c r="K18" i="7" s="1"/>
  <c r="K132" i="3"/>
  <c r="K17" i="7" s="1"/>
  <c r="K131" i="3"/>
  <c r="K16" i="7" s="1"/>
  <c r="K130" i="3"/>
  <c r="K15" i="7" s="1"/>
  <c r="K129" i="3"/>
  <c r="K14" i="7" s="1"/>
  <c r="K128" i="3"/>
  <c r="K13" i="7" s="1"/>
  <c r="K127" i="3"/>
  <c r="K12" i="7" s="1"/>
  <c r="K126" i="3"/>
  <c r="K11" i="7" s="1"/>
  <c r="K125" i="3"/>
  <c r="K10" i="7" s="1"/>
  <c r="K124" i="3"/>
  <c r="K9" i="7" s="1"/>
  <c r="K122" i="3"/>
  <c r="K7" i="7" s="1"/>
  <c r="K121" i="3"/>
  <c r="K6" i="7" s="1"/>
  <c r="K120" i="3"/>
  <c r="K5" i="7" s="1"/>
  <c r="K117" i="3"/>
  <c r="K16" i="9" s="1"/>
  <c r="K116" i="3"/>
  <c r="K15" i="9" s="1"/>
  <c r="K115" i="3"/>
  <c r="K14" i="9" s="1"/>
  <c r="K114" i="3"/>
  <c r="K13" i="9"/>
  <c r="K113" i="3"/>
  <c r="K12" i="9" s="1"/>
  <c r="K112" i="3"/>
  <c r="K11" i="9" s="1"/>
  <c r="K111" i="3"/>
  <c r="K10" i="9" s="1"/>
  <c r="K110" i="3"/>
  <c r="K9" i="9" s="1"/>
  <c r="K109" i="3"/>
  <c r="K8" i="9" s="1"/>
  <c r="K108" i="3"/>
  <c r="K7" i="9" s="1"/>
  <c r="K107" i="3"/>
  <c r="K6" i="9" s="1"/>
  <c r="K106" i="3"/>
  <c r="K5" i="9" s="1"/>
  <c r="K105" i="3"/>
  <c r="K4" i="9" s="1"/>
  <c r="K103" i="3"/>
  <c r="K19" i="8" s="1"/>
  <c r="K102" i="3"/>
  <c r="K18" i="8" s="1"/>
  <c r="K101" i="3"/>
  <c r="K17" i="8"/>
  <c r="K100" i="3"/>
  <c r="K16" i="8" s="1"/>
  <c r="K99" i="3"/>
  <c r="K15" i="8" s="1"/>
  <c r="K98" i="3"/>
  <c r="K14" i="8" s="1"/>
  <c r="K97" i="3"/>
  <c r="K13" i="8" s="1"/>
  <c r="K96" i="3"/>
  <c r="K12" i="8" s="1"/>
  <c r="K95" i="3"/>
  <c r="K11" i="8" s="1"/>
  <c r="K94" i="3"/>
  <c r="K10" i="8" s="1"/>
  <c r="K93" i="3"/>
  <c r="K9" i="8" s="1"/>
  <c r="K92" i="3"/>
  <c r="K8" i="8" s="1"/>
  <c r="K91" i="3"/>
  <c r="K7" i="8" s="1"/>
  <c r="K90" i="3"/>
  <c r="K6" i="8" s="1"/>
  <c r="K89" i="3"/>
  <c r="K5" i="8" s="1"/>
  <c r="K88" i="3"/>
  <c r="K4" i="8" s="1"/>
  <c r="K86" i="3"/>
  <c r="K77" i="6" s="1"/>
  <c r="K85" i="3"/>
  <c r="K76" i="6" s="1"/>
  <c r="K84" i="3"/>
  <c r="K75" i="6" s="1"/>
  <c r="K83" i="3"/>
  <c r="K74" i="6" s="1"/>
  <c r="K82" i="3"/>
  <c r="K73" i="6" s="1"/>
  <c r="K81" i="3"/>
  <c r="K72" i="6" s="1"/>
  <c r="K80" i="3"/>
  <c r="K71" i="6" s="1"/>
  <c r="K78" i="3"/>
  <c r="K83" i="6" s="1"/>
  <c r="K77" i="3"/>
  <c r="K82" i="6" s="1"/>
  <c r="K76" i="3"/>
  <c r="K81" i="6" s="1"/>
  <c r="K75" i="3"/>
  <c r="K80" i="6" s="1"/>
  <c r="K74" i="3"/>
  <c r="K79" i="6" s="1"/>
  <c r="K72" i="3"/>
  <c r="K69" i="6" s="1"/>
  <c r="K71" i="3"/>
  <c r="K68" i="6" s="1"/>
  <c r="K70" i="3"/>
  <c r="K67" i="6" s="1"/>
  <c r="K69" i="3"/>
  <c r="K66" i="6" s="1"/>
  <c r="K68" i="3"/>
  <c r="K65" i="6" s="1"/>
  <c r="K67" i="3"/>
  <c r="K64" i="6" s="1"/>
  <c r="K66" i="3"/>
  <c r="K63" i="6"/>
  <c r="K65" i="3"/>
  <c r="K62" i="6" s="1"/>
  <c r="K64" i="3"/>
  <c r="K61" i="6" s="1"/>
  <c r="K63" i="3"/>
  <c r="K60" i="6" s="1"/>
  <c r="K62" i="3"/>
  <c r="K59" i="6" s="1"/>
  <c r="K61" i="3"/>
  <c r="K58" i="6" s="1"/>
  <c r="K60" i="3"/>
  <c r="K57" i="6" s="1"/>
  <c r="K59" i="3"/>
  <c r="K56" i="6" s="1"/>
  <c r="K57" i="3"/>
  <c r="K54" i="6" s="1"/>
  <c r="K56" i="3"/>
  <c r="K53" i="6" s="1"/>
  <c r="K55" i="3"/>
  <c r="K52" i="6" s="1"/>
  <c r="K54" i="3"/>
  <c r="K51" i="6" s="1"/>
  <c r="K53" i="3"/>
  <c r="K50" i="6" s="1"/>
  <c r="K52" i="3"/>
  <c r="K49" i="6" s="1"/>
  <c r="K51" i="3"/>
  <c r="K48" i="6" s="1"/>
  <c r="K50" i="3"/>
  <c r="K47" i="6" s="1"/>
  <c r="K49" i="3"/>
  <c r="K46" i="6" s="1"/>
  <c r="K48" i="3"/>
  <c r="K45" i="6" s="1"/>
  <c r="K47" i="3"/>
  <c r="K44" i="6" s="1"/>
  <c r="K45" i="3"/>
  <c r="K42" i="6" s="1"/>
  <c r="K44" i="3"/>
  <c r="K41" i="6" s="1"/>
  <c r="K43" i="3"/>
  <c r="K40" i="6" s="1"/>
  <c r="K42" i="3"/>
  <c r="K39" i="6" s="1"/>
  <c r="K41" i="3"/>
  <c r="K38" i="6" s="1"/>
  <c r="K40" i="3"/>
  <c r="K37" i="6" s="1"/>
  <c r="K39" i="3"/>
  <c r="K36" i="6" s="1"/>
  <c r="K38" i="3"/>
  <c r="K35" i="6" s="1"/>
  <c r="K37" i="3"/>
  <c r="K34" i="6" s="1"/>
  <c r="K36" i="3"/>
  <c r="K33" i="6" s="1"/>
  <c r="K35" i="3"/>
  <c r="K32" i="6" s="1"/>
  <c r="K32" i="3"/>
  <c r="K30" i="6" s="1"/>
  <c r="K31" i="3"/>
  <c r="K29" i="6" s="1"/>
  <c r="K30" i="3"/>
  <c r="K28" i="6" s="1"/>
  <c r="K29" i="3"/>
  <c r="K27" i="6" s="1"/>
  <c r="K28" i="3"/>
  <c r="K26" i="6" s="1"/>
  <c r="J289" i="3"/>
  <c r="J99" i="9" s="1"/>
  <c r="J206" i="3"/>
  <c r="J91" i="7" s="1"/>
  <c r="J166" i="3"/>
  <c r="J51" i="7" s="1"/>
  <c r="J165" i="3"/>
  <c r="J50" i="7" s="1"/>
  <c r="J164" i="3"/>
  <c r="J49" i="7" s="1"/>
  <c r="J163" i="3"/>
  <c r="J48" i="7" s="1"/>
  <c r="G289" i="3"/>
  <c r="G99" i="9" s="1"/>
  <c r="G288" i="3"/>
  <c r="G98" i="9" s="1"/>
  <c r="G287" i="3"/>
  <c r="G97" i="9" s="1"/>
  <c r="G286" i="3"/>
  <c r="G96" i="9" s="1"/>
  <c r="G285" i="3"/>
  <c r="G95" i="9" s="1"/>
  <c r="G284" i="3"/>
  <c r="G94" i="9" s="1"/>
  <c r="G283" i="3"/>
  <c r="G93" i="9" s="1"/>
  <c r="G282" i="3"/>
  <c r="G92" i="9"/>
  <c r="G281" i="3"/>
  <c r="G91" i="9" s="1"/>
  <c r="G279" i="3"/>
  <c r="G89" i="9" s="1"/>
  <c r="G278" i="3"/>
  <c r="G88" i="9" s="1"/>
  <c r="G277" i="3"/>
  <c r="G87" i="9" s="1"/>
  <c r="G276" i="3"/>
  <c r="G86" i="9" s="1"/>
  <c r="G275" i="3"/>
  <c r="G85" i="9" s="1"/>
  <c r="G274" i="3"/>
  <c r="G84" i="9" s="1"/>
  <c r="G273" i="3"/>
  <c r="G83" i="9" s="1"/>
  <c r="G272" i="3"/>
  <c r="G82" i="9" s="1"/>
  <c r="G271" i="3"/>
  <c r="G81" i="9" s="1"/>
  <c r="G270" i="3"/>
  <c r="G80" i="9" s="1"/>
  <c r="G268" i="3"/>
  <c r="G78" i="9" s="1"/>
  <c r="G267" i="3"/>
  <c r="G77" i="9" s="1"/>
  <c r="G266" i="3"/>
  <c r="G76" i="9" s="1"/>
  <c r="G265" i="3"/>
  <c r="G75" i="9" s="1"/>
  <c r="G264" i="3"/>
  <c r="G74" i="9"/>
  <c r="G263" i="3"/>
  <c r="G73" i="9" s="1"/>
  <c r="G262" i="3"/>
  <c r="G72" i="9" s="1"/>
  <c r="G261" i="3"/>
  <c r="G71" i="9" s="1"/>
  <c r="G260" i="3"/>
  <c r="G70" i="9" s="1"/>
  <c r="G259" i="3"/>
  <c r="G69" i="9" s="1"/>
  <c r="G258" i="3"/>
  <c r="G68" i="9" s="1"/>
  <c r="G257" i="3"/>
  <c r="G67" i="9" s="1"/>
  <c r="G256" i="3"/>
  <c r="G66" i="9" s="1"/>
  <c r="G255" i="3"/>
  <c r="G65" i="9" s="1"/>
  <c r="G254" i="3"/>
  <c r="G64" i="9" s="1"/>
  <c r="G253" i="3"/>
  <c r="G63" i="9" s="1"/>
  <c r="G251" i="3"/>
  <c r="G61" i="9" s="1"/>
  <c r="G250" i="3"/>
  <c r="G60" i="9" s="1"/>
  <c r="G249" i="3"/>
  <c r="G59" i="9" s="1"/>
  <c r="G248" i="3"/>
  <c r="G58" i="9" s="1"/>
  <c r="G247" i="3"/>
  <c r="G57" i="9" s="1"/>
  <c r="G246" i="3"/>
  <c r="G56" i="9" s="1"/>
  <c r="G245" i="3"/>
  <c r="G55" i="9" s="1"/>
  <c r="G244" i="3"/>
  <c r="G54" i="9" s="1"/>
  <c r="G243" i="3"/>
  <c r="G53" i="9" s="1"/>
  <c r="G242" i="3"/>
  <c r="G52" i="9" s="1"/>
  <c r="G241" i="3"/>
  <c r="G51" i="9" s="1"/>
  <c r="G240" i="3"/>
  <c r="G50" i="9" s="1"/>
  <c r="G239" i="3"/>
  <c r="G49" i="9" s="1"/>
  <c r="G238" i="3"/>
  <c r="G48" i="9" s="1"/>
  <c r="G237" i="3"/>
  <c r="G47" i="9" s="1"/>
  <c r="G236" i="3"/>
  <c r="G46" i="9" s="1"/>
  <c r="G235" i="3"/>
  <c r="G45" i="9" s="1"/>
  <c r="G234" i="3"/>
  <c r="G44" i="9" s="1"/>
  <c r="G233" i="3"/>
  <c r="G43" i="9" s="1"/>
  <c r="G231" i="3"/>
  <c r="G41" i="9" s="1"/>
  <c r="G230" i="3"/>
  <c r="G40" i="9" s="1"/>
  <c r="G229" i="3"/>
  <c r="G39" i="9" s="1"/>
  <c r="G228" i="3"/>
  <c r="G38" i="9" s="1"/>
  <c r="G227" i="3"/>
  <c r="G37" i="9" s="1"/>
  <c r="G225" i="3"/>
  <c r="G35" i="9" s="1"/>
  <c r="G224" i="3"/>
  <c r="G34" i="9" s="1"/>
  <c r="G223" i="3"/>
  <c r="G33" i="9" s="1"/>
  <c r="G222" i="3"/>
  <c r="G32" i="9" s="1"/>
  <c r="G221" i="3"/>
  <c r="G31" i="9" s="1"/>
  <c r="G220" i="3"/>
  <c r="G30" i="9" s="1"/>
  <c r="G219" i="3"/>
  <c r="G29" i="9" s="1"/>
  <c r="G218" i="3"/>
  <c r="G28" i="9" s="1"/>
  <c r="G217" i="3"/>
  <c r="G27" i="9" s="1"/>
  <c r="G216" i="3"/>
  <c r="G26" i="9" s="1"/>
  <c r="G215" i="3"/>
  <c r="G25" i="9" s="1"/>
  <c r="G214" i="3"/>
  <c r="G24" i="9" s="1"/>
  <c r="G213" i="3"/>
  <c r="G23" i="9"/>
  <c r="G212" i="3"/>
  <c r="G22" i="9" s="1"/>
  <c r="G211" i="3"/>
  <c r="G21" i="9" s="1"/>
  <c r="G210" i="3"/>
  <c r="G20" i="9" s="1"/>
  <c r="G209" i="3"/>
  <c r="G19" i="9"/>
  <c r="G208" i="3"/>
  <c r="G18" i="9" s="1"/>
  <c r="G205" i="3"/>
  <c r="G90" i="7" s="1"/>
  <c r="G204" i="3"/>
  <c r="G89" i="7" s="1"/>
  <c r="G203" i="3"/>
  <c r="G88" i="7" s="1"/>
  <c r="G202" i="3"/>
  <c r="G87" i="7" s="1"/>
  <c r="G201" i="3"/>
  <c r="G86" i="7" s="1"/>
  <c r="G200" i="3"/>
  <c r="G85" i="7" s="1"/>
  <c r="G198" i="3"/>
  <c r="G83" i="7" s="1"/>
  <c r="G197" i="3"/>
  <c r="G82" i="7" s="1"/>
  <c r="G196" i="3"/>
  <c r="G81" i="7" s="1"/>
  <c r="G195" i="3"/>
  <c r="G80" i="7" s="1"/>
  <c r="G194" i="3"/>
  <c r="G79" i="7" s="1"/>
  <c r="G193" i="3"/>
  <c r="G78" i="7" s="1"/>
  <c r="G192" i="3"/>
  <c r="G77" i="7" s="1"/>
  <c r="G191" i="3"/>
  <c r="G76" i="7" s="1"/>
  <c r="G190" i="3"/>
  <c r="G75" i="7" s="1"/>
  <c r="G189" i="3"/>
  <c r="G74" i="7" s="1"/>
  <c r="G188" i="3"/>
  <c r="G73" i="7" s="1"/>
  <c r="G187" i="3"/>
  <c r="G72" i="7" s="1"/>
  <c r="G186" i="3"/>
  <c r="G71" i="7" s="1"/>
  <c r="G185" i="3"/>
  <c r="G70" i="7" s="1"/>
  <c r="G180" i="3"/>
  <c r="G65" i="7" s="1"/>
  <c r="G179" i="3"/>
  <c r="G64" i="7" s="1"/>
  <c r="G178" i="3"/>
  <c r="G63" i="7" s="1"/>
  <c r="G177" i="3"/>
  <c r="G62" i="7" s="1"/>
  <c r="G176" i="3"/>
  <c r="G61" i="7" s="1"/>
  <c r="G174" i="3"/>
  <c r="G59" i="7" s="1"/>
  <c r="G173" i="3"/>
  <c r="G58" i="7" s="1"/>
  <c r="G172" i="3"/>
  <c r="G57" i="7" s="1"/>
  <c r="G171" i="3"/>
  <c r="G56" i="7" s="1"/>
  <c r="G170" i="3"/>
  <c r="G55" i="7" s="1"/>
  <c r="G169" i="3"/>
  <c r="G54" i="7" s="1"/>
  <c r="G168" i="3"/>
  <c r="G53" i="7" s="1"/>
  <c r="G167" i="3"/>
  <c r="G52" i="7" s="1"/>
  <c r="G166" i="3"/>
  <c r="G51" i="7" s="1"/>
  <c r="G165" i="3"/>
  <c r="G50" i="7"/>
  <c r="G164" i="3"/>
  <c r="G49" i="7" s="1"/>
  <c r="G163" i="3"/>
  <c r="G48" i="7" s="1"/>
  <c r="G161" i="3"/>
  <c r="G46" i="7" s="1"/>
  <c r="G160" i="3"/>
  <c r="G45" i="7" s="1"/>
  <c r="G159" i="3"/>
  <c r="G44" i="7" s="1"/>
  <c r="G158" i="3"/>
  <c r="G43" i="7" s="1"/>
  <c r="G157" i="3"/>
  <c r="G42" i="7" s="1"/>
  <c r="G156" i="3"/>
  <c r="G41" i="7" s="1"/>
  <c r="G155" i="3"/>
  <c r="G40" i="7" s="1"/>
  <c r="G154" i="3"/>
  <c r="G39" i="7" s="1"/>
  <c r="G153" i="3"/>
  <c r="G38" i="7" s="1"/>
  <c r="G152" i="3"/>
  <c r="G37" i="7" s="1"/>
  <c r="G151" i="3"/>
  <c r="G36" i="7" s="1"/>
  <c r="G150" i="3"/>
  <c r="G35" i="7" s="1"/>
  <c r="G148" i="3"/>
  <c r="G33" i="7" s="1"/>
  <c r="G147" i="3"/>
  <c r="G32" i="7" s="1"/>
  <c r="G146" i="3"/>
  <c r="G31" i="7" s="1"/>
  <c r="G145" i="3"/>
  <c r="G30" i="7" s="1"/>
  <c r="G144" i="3"/>
  <c r="G29" i="7" s="1"/>
  <c r="G143" i="3"/>
  <c r="G28" i="7"/>
  <c r="G142" i="3"/>
  <c r="G27" i="7" s="1"/>
  <c r="G141" i="3"/>
  <c r="G26" i="7" s="1"/>
  <c r="G140" i="3"/>
  <c r="G25" i="7" s="1"/>
  <c r="G139" i="3"/>
  <c r="G24" i="7" s="1"/>
  <c r="G138" i="3"/>
  <c r="G23" i="7" s="1"/>
  <c r="G137" i="3"/>
  <c r="G22" i="7" s="1"/>
  <c r="G136" i="3"/>
  <c r="G21" i="7" s="1"/>
  <c r="G133" i="3"/>
  <c r="G18" i="7" s="1"/>
  <c r="G132" i="3"/>
  <c r="G17" i="7" s="1"/>
  <c r="G131" i="3"/>
  <c r="G16" i="7" s="1"/>
  <c r="G130" i="3"/>
  <c r="G15" i="7" s="1"/>
  <c r="G129" i="3"/>
  <c r="G14" i="7"/>
  <c r="G128" i="3"/>
  <c r="G13" i="7" s="1"/>
  <c r="G127" i="3"/>
  <c r="G12" i="7" s="1"/>
  <c r="G126" i="3"/>
  <c r="G11" i="7" s="1"/>
  <c r="G125" i="3"/>
  <c r="G10" i="7"/>
  <c r="G124" i="3"/>
  <c r="G9" i="7" s="1"/>
  <c r="G122" i="3"/>
  <c r="G7" i="7" s="1"/>
  <c r="G121" i="3"/>
  <c r="G6" i="7" s="1"/>
  <c r="G120" i="3"/>
  <c r="G5" i="7" s="1"/>
  <c r="G119" i="3"/>
  <c r="G4" i="7" s="1"/>
  <c r="G117" i="3"/>
  <c r="G16" i="9" s="1"/>
  <c r="G116" i="3"/>
  <c r="G15" i="9" s="1"/>
  <c r="G115" i="3"/>
  <c r="G14" i="9" s="1"/>
  <c r="G114" i="3"/>
  <c r="G13" i="9" s="1"/>
  <c r="G113" i="3"/>
  <c r="G12" i="9" s="1"/>
  <c r="G112" i="3"/>
  <c r="G11" i="9" s="1"/>
  <c r="G111" i="3"/>
  <c r="G10" i="9" s="1"/>
  <c r="G110" i="3"/>
  <c r="G9" i="9" s="1"/>
  <c r="G109" i="3"/>
  <c r="G8" i="9" s="1"/>
  <c r="G108" i="3"/>
  <c r="G7" i="9" s="1"/>
  <c r="G107" i="3"/>
  <c r="G6" i="9" s="1"/>
  <c r="G106" i="3"/>
  <c r="G5" i="9" s="1"/>
  <c r="G105" i="3"/>
  <c r="G4" i="9" s="1"/>
  <c r="G103" i="3"/>
  <c r="G19" i="8" s="1"/>
  <c r="G102" i="3"/>
  <c r="G18" i="8" s="1"/>
  <c r="G101" i="3"/>
  <c r="G17" i="8" s="1"/>
  <c r="G100" i="3"/>
  <c r="G16" i="8" s="1"/>
  <c r="G99" i="3"/>
  <c r="G15" i="8" s="1"/>
  <c r="G98" i="3"/>
  <c r="G14" i="8" s="1"/>
  <c r="G97" i="3"/>
  <c r="G13" i="8" s="1"/>
  <c r="G96" i="3"/>
  <c r="G12" i="8" s="1"/>
  <c r="G95" i="3"/>
  <c r="G11" i="8" s="1"/>
  <c r="G94" i="3"/>
  <c r="G10" i="8"/>
  <c r="G93" i="3"/>
  <c r="G9" i="8" s="1"/>
  <c r="G92" i="3"/>
  <c r="G8" i="8" s="1"/>
  <c r="G91" i="3"/>
  <c r="G7" i="8" s="1"/>
  <c r="G90" i="3"/>
  <c r="G6" i="8" s="1"/>
  <c r="G89" i="3"/>
  <c r="G5" i="8" s="1"/>
  <c r="G88" i="3"/>
  <c r="G4" i="8" s="1"/>
  <c r="G86" i="3"/>
  <c r="G77" i="6" s="1"/>
  <c r="G85" i="3"/>
  <c r="G76" i="6" s="1"/>
  <c r="G84" i="3"/>
  <c r="G75" i="6" s="1"/>
  <c r="G83" i="3"/>
  <c r="G74" i="6" s="1"/>
  <c r="G82" i="3"/>
  <c r="G73" i="6" s="1"/>
  <c r="G81" i="3"/>
  <c r="G72" i="6" s="1"/>
  <c r="G80" i="3"/>
  <c r="G71" i="6" s="1"/>
  <c r="G78" i="3"/>
  <c r="G83" i="6" s="1"/>
  <c r="G77" i="3"/>
  <c r="G82" i="6" s="1"/>
  <c r="G76" i="3"/>
  <c r="G81" i="6" s="1"/>
  <c r="G75" i="3"/>
  <c r="G80" i="6" s="1"/>
  <c r="G74" i="3"/>
  <c r="G79" i="6" s="1"/>
  <c r="G72" i="3"/>
  <c r="G69" i="6" s="1"/>
  <c r="G71" i="3"/>
  <c r="G68" i="6"/>
  <c r="G70" i="3"/>
  <c r="G67" i="6" s="1"/>
  <c r="G69" i="3"/>
  <c r="G66" i="6" s="1"/>
  <c r="G68" i="3"/>
  <c r="G65" i="6" s="1"/>
  <c r="G67" i="3"/>
  <c r="G64" i="6"/>
  <c r="G66" i="3"/>
  <c r="G63" i="6" s="1"/>
  <c r="G65" i="3"/>
  <c r="G62" i="6" s="1"/>
  <c r="G64" i="3"/>
  <c r="G61" i="6" s="1"/>
  <c r="G63" i="3"/>
  <c r="G60" i="6" s="1"/>
  <c r="G62" i="3"/>
  <c r="G59" i="6" s="1"/>
  <c r="G61" i="3"/>
  <c r="G58" i="6" s="1"/>
  <c r="G60" i="3"/>
  <c r="G57" i="6" s="1"/>
  <c r="G59" i="3"/>
  <c r="G56" i="6" s="1"/>
  <c r="G57" i="3"/>
  <c r="G54" i="6" s="1"/>
  <c r="G56" i="3"/>
  <c r="G53" i="6" s="1"/>
  <c r="G55" i="3"/>
  <c r="G52" i="6" s="1"/>
  <c r="G54" i="3"/>
  <c r="G51" i="6"/>
  <c r="G53" i="3"/>
  <c r="G50" i="6" s="1"/>
  <c r="G52" i="3"/>
  <c r="G49" i="6" s="1"/>
  <c r="G51" i="3"/>
  <c r="G48" i="6" s="1"/>
  <c r="G50" i="3"/>
  <c r="G47" i="6" s="1"/>
  <c r="G49" i="3"/>
  <c r="G46" i="6" s="1"/>
  <c r="G48" i="3"/>
  <c r="G45" i="6" s="1"/>
  <c r="G47" i="3"/>
  <c r="G44" i="6" s="1"/>
  <c r="G45" i="3"/>
  <c r="G42" i="6" s="1"/>
  <c r="G44" i="3"/>
  <c r="G41" i="6" s="1"/>
  <c r="G43" i="3"/>
  <c r="G40" i="6" s="1"/>
  <c r="G42" i="3"/>
  <c r="G39" i="6" s="1"/>
  <c r="G41" i="3"/>
  <c r="G38" i="6" s="1"/>
  <c r="G40" i="3"/>
  <c r="G37" i="6" s="1"/>
  <c r="G39" i="3"/>
  <c r="G36" i="6" s="1"/>
  <c r="G38" i="3"/>
  <c r="G35" i="6" s="1"/>
  <c r="G37" i="3"/>
  <c r="G34" i="6" s="1"/>
  <c r="G36" i="3"/>
  <c r="G33" i="6" s="1"/>
  <c r="G35" i="3"/>
  <c r="G32" i="6" s="1"/>
  <c r="G32" i="3"/>
  <c r="G30" i="6" s="1"/>
  <c r="G31" i="3"/>
  <c r="G29" i="6" s="1"/>
  <c r="G30" i="3"/>
  <c r="G28" i="6" s="1"/>
  <c r="G29" i="3"/>
  <c r="G27" i="6" s="1"/>
  <c r="G28" i="3"/>
  <c r="G26" i="6" s="1"/>
  <c r="G15" i="3"/>
  <c r="G13" i="6" s="1"/>
  <c r="G10" i="3"/>
  <c r="G8" i="6" s="1"/>
  <c r="G9" i="3"/>
  <c r="G7" i="6" s="1"/>
  <c r="G6" i="3"/>
  <c r="G4" i="6" s="1"/>
  <c r="G7" i="3"/>
  <c r="G5" i="6" s="1"/>
  <c r="G8" i="3"/>
  <c r="G6" i="6" s="1"/>
  <c r="F289" i="3"/>
  <c r="F99" i="9"/>
  <c r="F288" i="3"/>
  <c r="F98" i="9" s="1"/>
  <c r="F287" i="3"/>
  <c r="F97" i="9"/>
  <c r="F286" i="3"/>
  <c r="F96" i="9" s="1"/>
  <c r="F285" i="3"/>
  <c r="F95" i="9"/>
  <c r="F284" i="3"/>
  <c r="F94" i="9" s="1"/>
  <c r="F283" i="3"/>
  <c r="F93" i="9" s="1"/>
  <c r="F282" i="3"/>
  <c r="F92" i="9" s="1"/>
  <c r="F281" i="3"/>
  <c r="F91" i="9" s="1"/>
  <c r="F279" i="3"/>
  <c r="F89" i="9" s="1"/>
  <c r="F278" i="3"/>
  <c r="F88" i="9" s="1"/>
  <c r="F277" i="3"/>
  <c r="F87" i="9" s="1"/>
  <c r="F276" i="3"/>
  <c r="F86" i="9" s="1"/>
  <c r="F275" i="3"/>
  <c r="F85" i="9" s="1"/>
  <c r="F274" i="3"/>
  <c r="F84" i="9" s="1"/>
  <c r="F273" i="3"/>
  <c r="F83" i="9" s="1"/>
  <c r="F272" i="3"/>
  <c r="F82" i="9"/>
  <c r="F271" i="3"/>
  <c r="F81" i="9" s="1"/>
  <c r="F270" i="3"/>
  <c r="F80" i="9"/>
  <c r="F268" i="3"/>
  <c r="F78" i="9" s="1"/>
  <c r="F267" i="3"/>
  <c r="F77" i="9"/>
  <c r="F266" i="3"/>
  <c r="F76" i="9" s="1"/>
  <c r="F265" i="3"/>
  <c r="F75" i="9"/>
  <c r="F264" i="3"/>
  <c r="F74" i="9" s="1"/>
  <c r="F263" i="3"/>
  <c r="F73" i="9" s="1"/>
  <c r="F262" i="3"/>
  <c r="F72" i="9" s="1"/>
  <c r="F261" i="3"/>
  <c r="F71" i="9" s="1"/>
  <c r="F260" i="3"/>
  <c r="F70" i="9" s="1"/>
  <c r="F259" i="3"/>
  <c r="F69" i="9" s="1"/>
  <c r="F258" i="3"/>
  <c r="F68" i="9" s="1"/>
  <c r="F257" i="3"/>
  <c r="F67" i="9" s="1"/>
  <c r="F256" i="3"/>
  <c r="F66" i="9" s="1"/>
  <c r="F255" i="3"/>
  <c r="F65" i="9" s="1"/>
  <c r="F254" i="3"/>
  <c r="F64" i="9" s="1"/>
  <c r="F253" i="3"/>
  <c r="F63" i="9" s="1"/>
  <c r="F251" i="3"/>
  <c r="F61" i="9" s="1"/>
  <c r="F250" i="3"/>
  <c r="F60" i="9"/>
  <c r="F249" i="3"/>
  <c r="F59" i="9" s="1"/>
  <c r="F248" i="3"/>
  <c r="F58" i="9"/>
  <c r="F247" i="3"/>
  <c r="F57" i="9" s="1"/>
  <c r="F246" i="3"/>
  <c r="F56" i="9"/>
  <c r="F245" i="3"/>
  <c r="F55" i="9" s="1"/>
  <c r="F244" i="3"/>
  <c r="F54" i="9" s="1"/>
  <c r="F243" i="3"/>
  <c r="F53" i="9" s="1"/>
  <c r="F242" i="3"/>
  <c r="F52" i="9" s="1"/>
  <c r="F241" i="3"/>
  <c r="F51" i="9" s="1"/>
  <c r="F240" i="3"/>
  <c r="F50" i="9" s="1"/>
  <c r="F239" i="3"/>
  <c r="F49" i="9" s="1"/>
  <c r="F238" i="3"/>
  <c r="F48" i="9" s="1"/>
  <c r="F237" i="3"/>
  <c r="F47" i="9" s="1"/>
  <c r="F236" i="3"/>
  <c r="F46" i="9" s="1"/>
  <c r="F235" i="3"/>
  <c r="F45" i="9" s="1"/>
  <c r="F234" i="3"/>
  <c r="F44" i="9" s="1"/>
  <c r="F233" i="3"/>
  <c r="F43" i="9" s="1"/>
  <c r="F231" i="3"/>
  <c r="F41" i="9"/>
  <c r="F230" i="3"/>
  <c r="F40" i="9" s="1"/>
  <c r="F229" i="3"/>
  <c r="F39" i="9"/>
  <c r="F228" i="3"/>
  <c r="F38" i="9" s="1"/>
  <c r="F227" i="3"/>
  <c r="F37" i="9" s="1"/>
  <c r="F225" i="3"/>
  <c r="F35" i="9" s="1"/>
  <c r="F224" i="3"/>
  <c r="F34" i="9" s="1"/>
  <c r="F223" i="3"/>
  <c r="F33" i="9" s="1"/>
  <c r="F222" i="3"/>
  <c r="F32" i="9" s="1"/>
  <c r="F221" i="3"/>
  <c r="F31" i="9" s="1"/>
  <c r="F220" i="3"/>
  <c r="F30" i="9" s="1"/>
  <c r="F219" i="3"/>
  <c r="F29" i="9" s="1"/>
  <c r="F218" i="3"/>
  <c r="F28" i="9" s="1"/>
  <c r="F217" i="3"/>
  <c r="F27" i="9" s="1"/>
  <c r="F216" i="3"/>
  <c r="F26" i="9" s="1"/>
  <c r="F215" i="3"/>
  <c r="F25" i="9" s="1"/>
  <c r="F214" i="3"/>
  <c r="F24" i="9"/>
  <c r="F213" i="3"/>
  <c r="F23" i="9" s="1"/>
  <c r="F212" i="3"/>
  <c r="F22" i="9"/>
  <c r="F211" i="3"/>
  <c r="F21" i="9" s="1"/>
  <c r="F210" i="3"/>
  <c r="F20" i="9" s="1"/>
  <c r="F209" i="3"/>
  <c r="F19" i="9" s="1"/>
  <c r="F208" i="3"/>
  <c r="F18" i="9" s="1"/>
  <c r="F206" i="3"/>
  <c r="F91" i="7" s="1"/>
  <c r="F205" i="3"/>
  <c r="F90" i="7" s="1"/>
  <c r="F204" i="3"/>
  <c r="F89" i="7" s="1"/>
  <c r="F203" i="3"/>
  <c r="F88" i="7" s="1"/>
  <c r="F202" i="3"/>
  <c r="F87" i="7" s="1"/>
  <c r="F201" i="3"/>
  <c r="F86" i="7" s="1"/>
  <c r="F200" i="3"/>
  <c r="F85" i="7" s="1"/>
  <c r="F198" i="3"/>
  <c r="F83" i="7" s="1"/>
  <c r="F197" i="3"/>
  <c r="F82" i="7" s="1"/>
  <c r="F196" i="3"/>
  <c r="F81" i="7" s="1"/>
  <c r="F195" i="3"/>
  <c r="F80" i="7" s="1"/>
  <c r="F194" i="3"/>
  <c r="F79" i="7"/>
  <c r="F193" i="3"/>
  <c r="F78" i="7" s="1"/>
  <c r="F192" i="3"/>
  <c r="F77" i="7" s="1"/>
  <c r="F191" i="3"/>
  <c r="F76" i="7" s="1"/>
  <c r="F190" i="3"/>
  <c r="F75" i="7" s="1"/>
  <c r="F189" i="3"/>
  <c r="F74" i="7" s="1"/>
  <c r="F188" i="3"/>
  <c r="F73" i="7" s="1"/>
  <c r="F187" i="3"/>
  <c r="F72" i="7" s="1"/>
  <c r="F186" i="3"/>
  <c r="F71" i="7"/>
  <c r="F185" i="3"/>
  <c r="F70" i="7" s="1"/>
  <c r="F183" i="3"/>
  <c r="F68" i="7" s="1"/>
  <c r="F182" i="3"/>
  <c r="F67" i="7" s="1"/>
  <c r="F181" i="3"/>
  <c r="F66" i="7" s="1"/>
  <c r="F180" i="3"/>
  <c r="F65" i="7" s="1"/>
  <c r="F179" i="3"/>
  <c r="F64" i="7" s="1"/>
  <c r="F178" i="3"/>
  <c r="F63" i="7" s="1"/>
  <c r="F177" i="3"/>
  <c r="F62" i="7" s="1"/>
  <c r="F176" i="3"/>
  <c r="F61" i="7" s="1"/>
  <c r="F174" i="3"/>
  <c r="F59" i="7" s="1"/>
  <c r="F173" i="3"/>
  <c r="F58" i="7" s="1"/>
  <c r="F172" i="3"/>
  <c r="F57" i="7" s="1"/>
  <c r="F171" i="3"/>
  <c r="F56" i="7" s="1"/>
  <c r="F170" i="3"/>
  <c r="F55" i="7" s="1"/>
  <c r="F169" i="3"/>
  <c r="F54" i="7" s="1"/>
  <c r="F168" i="3"/>
  <c r="F53" i="7"/>
  <c r="F167" i="3"/>
  <c r="F52" i="7" s="1"/>
  <c r="F166" i="3"/>
  <c r="F51" i="7"/>
  <c r="F165" i="3"/>
  <c r="F50" i="7" s="1"/>
  <c r="F164" i="3"/>
  <c r="F49" i="7" s="1"/>
  <c r="F163" i="3"/>
  <c r="F48" i="7" s="1"/>
  <c r="F161" i="3"/>
  <c r="F46" i="7" s="1"/>
  <c r="F160" i="3"/>
  <c r="F45" i="7" s="1"/>
  <c r="F159" i="3"/>
  <c r="F44" i="7" s="1"/>
  <c r="F158" i="3"/>
  <c r="F43" i="7" s="1"/>
  <c r="F157" i="3"/>
  <c r="F42" i="7" s="1"/>
  <c r="F156" i="3"/>
  <c r="F41" i="7" s="1"/>
  <c r="F155" i="3"/>
  <c r="F40" i="7" s="1"/>
  <c r="F154" i="3"/>
  <c r="F39" i="7" s="1"/>
  <c r="F153" i="3"/>
  <c r="F38" i="7" s="1"/>
  <c r="F152" i="3"/>
  <c r="F37" i="7" s="1"/>
  <c r="F151" i="3"/>
  <c r="F36" i="7"/>
  <c r="F150" i="3"/>
  <c r="F35" i="7" s="1"/>
  <c r="F148" i="3"/>
  <c r="F33" i="7"/>
  <c r="F147" i="3"/>
  <c r="F32" i="7" s="1"/>
  <c r="F145" i="3"/>
  <c r="F30" i="7"/>
  <c r="F144" i="3"/>
  <c r="F29" i="7" s="1"/>
  <c r="F143" i="3"/>
  <c r="F28" i="7" s="1"/>
  <c r="F142" i="3"/>
  <c r="F27" i="7" s="1"/>
  <c r="F141" i="3"/>
  <c r="F26" i="7" s="1"/>
  <c r="F140" i="3"/>
  <c r="F25" i="7" s="1"/>
  <c r="F139" i="3"/>
  <c r="F24" i="7" s="1"/>
  <c r="F138" i="3"/>
  <c r="F23" i="7"/>
  <c r="F137" i="3"/>
  <c r="F22" i="7" s="1"/>
  <c r="F136" i="3"/>
  <c r="F21" i="7" s="1"/>
  <c r="F135" i="3"/>
  <c r="F20" i="7"/>
  <c r="F133" i="3"/>
  <c r="F18" i="7" s="1"/>
  <c r="F132" i="3"/>
  <c r="F17" i="7" s="1"/>
  <c r="F131" i="3"/>
  <c r="F16" i="7" s="1"/>
  <c r="F130" i="3"/>
  <c r="F15" i="7" s="1"/>
  <c r="F129" i="3"/>
  <c r="F14" i="7"/>
  <c r="F128" i="3"/>
  <c r="F13" i="7" s="1"/>
  <c r="F127" i="3"/>
  <c r="F12" i="7" s="1"/>
  <c r="F126" i="3"/>
  <c r="F11" i="7"/>
  <c r="F125" i="3"/>
  <c r="F10" i="7" s="1"/>
  <c r="F124" i="3"/>
  <c r="F9" i="7" s="1"/>
  <c r="F122" i="3"/>
  <c r="F7" i="7"/>
  <c r="F121" i="3"/>
  <c r="F6" i="7" s="1"/>
  <c r="F120" i="3"/>
  <c r="F5" i="7" s="1"/>
  <c r="F119" i="3"/>
  <c r="F4" i="7" s="1"/>
  <c r="F117" i="3"/>
  <c r="F16" i="9" s="1"/>
  <c r="F116" i="3"/>
  <c r="F15" i="9" s="1"/>
  <c r="F115" i="3"/>
  <c r="F14" i="9"/>
  <c r="F114" i="3"/>
  <c r="F13" i="9" s="1"/>
  <c r="F113" i="3"/>
  <c r="F12" i="9"/>
  <c r="F112" i="3"/>
  <c r="F11" i="9"/>
  <c r="F111" i="3"/>
  <c r="F10" i="9" s="1"/>
  <c r="F110" i="3"/>
  <c r="F9" i="9" s="1"/>
  <c r="F109" i="3"/>
  <c r="F8" i="9" s="1"/>
  <c r="F108" i="3"/>
  <c r="F7" i="9" s="1"/>
  <c r="F107" i="3"/>
  <c r="F6" i="9" s="1"/>
  <c r="F106" i="3"/>
  <c r="F5" i="9" s="1"/>
  <c r="F105" i="3"/>
  <c r="F4" i="9" s="1"/>
  <c r="F103" i="3"/>
  <c r="F19" i="8"/>
  <c r="F102" i="3"/>
  <c r="F18" i="8"/>
  <c r="F101" i="3"/>
  <c r="F17" i="8" s="1"/>
  <c r="F100" i="3"/>
  <c r="F16" i="8"/>
  <c r="F99" i="3"/>
  <c r="F15" i="8" s="1"/>
  <c r="F98" i="3"/>
  <c r="F14" i="8" s="1"/>
  <c r="F97" i="3"/>
  <c r="F13" i="8" s="1"/>
  <c r="F96" i="3"/>
  <c r="F12" i="8" s="1"/>
  <c r="F95" i="3"/>
  <c r="F11" i="8" s="1"/>
  <c r="F94" i="3"/>
  <c r="F10" i="8"/>
  <c r="F93" i="3"/>
  <c r="F9" i="8" s="1"/>
  <c r="F92" i="3"/>
  <c r="F8" i="8" s="1"/>
  <c r="F91" i="3"/>
  <c r="F7" i="8"/>
  <c r="F90" i="3"/>
  <c r="F6" i="8"/>
  <c r="F89" i="3"/>
  <c r="F5" i="8" s="1"/>
  <c r="F88" i="3"/>
  <c r="F4" i="8"/>
  <c r="F86" i="3"/>
  <c r="F77" i="6" s="1"/>
  <c r="F85" i="3"/>
  <c r="F76" i="6" s="1"/>
  <c r="F84" i="3"/>
  <c r="F75" i="6" s="1"/>
  <c r="F83" i="3"/>
  <c r="F74" i="6" s="1"/>
  <c r="F82" i="3"/>
  <c r="F73" i="6" s="1"/>
  <c r="F81" i="3"/>
  <c r="F72" i="6"/>
  <c r="F80" i="3"/>
  <c r="F71" i="6" s="1"/>
  <c r="F78" i="3"/>
  <c r="F83" i="6"/>
  <c r="F77" i="3"/>
  <c r="F82" i="6"/>
  <c r="F76" i="3"/>
  <c r="F81" i="6" s="1"/>
  <c r="F75" i="3"/>
  <c r="F80" i="6" s="1"/>
  <c r="F74" i="3"/>
  <c r="F79" i="6"/>
  <c r="F72" i="3"/>
  <c r="F69" i="6" s="1"/>
  <c r="F71" i="3"/>
  <c r="F68" i="6" s="1"/>
  <c r="F70" i="3"/>
  <c r="F67" i="6" s="1"/>
  <c r="F69" i="3"/>
  <c r="F66" i="6" s="1"/>
  <c r="F68" i="3"/>
  <c r="F65" i="6"/>
  <c r="F67" i="3"/>
  <c r="F64" i="6"/>
  <c r="F66" i="3"/>
  <c r="F63" i="6" s="1"/>
  <c r="F65" i="3"/>
  <c r="F62" i="6"/>
  <c r="F64" i="3"/>
  <c r="F61" i="6"/>
  <c r="F63" i="3"/>
  <c r="F60" i="6" s="1"/>
  <c r="F62" i="3"/>
  <c r="F59" i="6" s="1"/>
  <c r="F61" i="3"/>
  <c r="F58" i="6" s="1"/>
  <c r="F60" i="3"/>
  <c r="F57" i="6" s="1"/>
  <c r="F59" i="3"/>
  <c r="F56" i="6"/>
  <c r="F57" i="3"/>
  <c r="F54" i="6" s="1"/>
  <c r="F56" i="3"/>
  <c r="F53" i="6" s="1"/>
  <c r="F55" i="3"/>
  <c r="F52" i="6"/>
  <c r="F54" i="3"/>
  <c r="F51" i="6"/>
  <c r="F53" i="3"/>
  <c r="F50" i="6" s="1"/>
  <c r="F52" i="3"/>
  <c r="F49" i="6"/>
  <c r="F51" i="3"/>
  <c r="F48" i="6" s="1"/>
  <c r="F50" i="3"/>
  <c r="F47" i="6" s="1"/>
  <c r="F49" i="3"/>
  <c r="F46" i="6" s="1"/>
  <c r="F48" i="3"/>
  <c r="F45" i="6" s="1"/>
  <c r="F47" i="3"/>
  <c r="F44" i="6" s="1"/>
  <c r="F45" i="3"/>
  <c r="F42" i="6"/>
  <c r="F44" i="3"/>
  <c r="F41" i="6" s="1"/>
  <c r="F43" i="3"/>
  <c r="F40" i="6"/>
  <c r="F42" i="3"/>
  <c r="F39" i="6"/>
  <c r="F41" i="3"/>
  <c r="F38" i="6" s="1"/>
  <c r="F40" i="3"/>
  <c r="F37" i="6" s="1"/>
  <c r="F39" i="3"/>
  <c r="F36" i="6"/>
  <c r="F38" i="3"/>
  <c r="F35" i="6" s="1"/>
  <c r="F37" i="3"/>
  <c r="F34" i="6" s="1"/>
  <c r="F36" i="3"/>
  <c r="F33" i="6" s="1"/>
  <c r="F35" i="3"/>
  <c r="F32" i="6" s="1"/>
  <c r="F32" i="3"/>
  <c r="F30" i="6"/>
  <c r="F31" i="3"/>
  <c r="F29" i="6"/>
  <c r="F30" i="3"/>
  <c r="F28" i="6" s="1"/>
  <c r="F29" i="3"/>
  <c r="F27" i="6"/>
  <c r="F28" i="3"/>
  <c r="F26" i="6"/>
  <c r="F25" i="3"/>
  <c r="F23" i="6" s="1"/>
  <c r="F24" i="3"/>
  <c r="F22" i="6" s="1"/>
  <c r="F15" i="3"/>
  <c r="F13" i="6" s="1"/>
  <c r="F13" i="3"/>
  <c r="F11" i="6" s="1"/>
  <c r="F12" i="3"/>
  <c r="F10" i="6"/>
  <c r="F11" i="3"/>
  <c r="F9" i="6" s="1"/>
  <c r="F10" i="3"/>
  <c r="F8" i="6" s="1"/>
  <c r="F9" i="3"/>
  <c r="F7" i="6"/>
  <c r="F8" i="3"/>
  <c r="F6" i="6"/>
  <c r="F7" i="3"/>
  <c r="F5" i="6" s="1"/>
  <c r="F6" i="3"/>
  <c r="F4" i="6"/>
  <c r="I289" i="3"/>
  <c r="I99" i="9" s="1"/>
  <c r="H289" i="3"/>
  <c r="H99" i="9" s="1"/>
  <c r="I288" i="3"/>
  <c r="I98" i="9" s="1"/>
  <c r="H288" i="3"/>
  <c r="H98" i="9" s="1"/>
  <c r="I287" i="3"/>
  <c r="I97" i="9" s="1"/>
  <c r="H287" i="3"/>
  <c r="H97" i="9"/>
  <c r="I286" i="3"/>
  <c r="I96" i="9" s="1"/>
  <c r="H286" i="3"/>
  <c r="H96" i="9"/>
  <c r="I285" i="3"/>
  <c r="I95" i="9"/>
  <c r="H285" i="3"/>
  <c r="H95" i="9" s="1"/>
  <c r="I284" i="3"/>
  <c r="I94" i="9" s="1"/>
  <c r="H284" i="3"/>
  <c r="H94" i="9" s="1"/>
  <c r="I283" i="3"/>
  <c r="I93" i="9" s="1"/>
  <c r="H283" i="3"/>
  <c r="H93" i="9" s="1"/>
  <c r="I282" i="3"/>
  <c r="I92" i="9" s="1"/>
  <c r="H282" i="3"/>
  <c r="H92" i="9" s="1"/>
  <c r="I281" i="3"/>
  <c r="I91" i="9"/>
  <c r="H281" i="3"/>
  <c r="H91" i="9"/>
  <c r="I279" i="3"/>
  <c r="I89" i="9" s="1"/>
  <c r="H279" i="3"/>
  <c r="H89" i="9"/>
  <c r="I278" i="3"/>
  <c r="I88" i="9" s="1"/>
  <c r="H278" i="3"/>
  <c r="H88" i="9" s="1"/>
  <c r="I277" i="3"/>
  <c r="I87" i="9" s="1"/>
  <c r="H277" i="3"/>
  <c r="H87" i="9" s="1"/>
  <c r="I276" i="3"/>
  <c r="I86" i="9" s="1"/>
  <c r="H276" i="3"/>
  <c r="H86" i="9"/>
  <c r="I275" i="3"/>
  <c r="I85" i="9" s="1"/>
  <c r="H275" i="3"/>
  <c r="H85" i="9" s="1"/>
  <c r="I274" i="3"/>
  <c r="I84" i="9"/>
  <c r="H274" i="3"/>
  <c r="H84" i="9" s="1"/>
  <c r="I273" i="3"/>
  <c r="I83" i="9" s="1"/>
  <c r="H273" i="3"/>
  <c r="H83" i="9"/>
  <c r="I272" i="3"/>
  <c r="I82" i="9" s="1"/>
  <c r="H272" i="3"/>
  <c r="H82" i="9" s="1"/>
  <c r="I271" i="3"/>
  <c r="I81" i="9" s="1"/>
  <c r="H271" i="3"/>
  <c r="H81" i="9" s="1"/>
  <c r="I270" i="3"/>
  <c r="I80" i="9" s="1"/>
  <c r="H270" i="3"/>
  <c r="H80" i="9"/>
  <c r="I268" i="3"/>
  <c r="I78" i="9" s="1"/>
  <c r="H268" i="3"/>
  <c r="H78" i="9"/>
  <c r="I267" i="3"/>
  <c r="I77" i="9"/>
  <c r="H267" i="3"/>
  <c r="H77" i="9" s="1"/>
  <c r="I266" i="3"/>
  <c r="I76" i="9" s="1"/>
  <c r="H266" i="3"/>
  <c r="H76" i="9" s="1"/>
  <c r="I265" i="3"/>
  <c r="I75" i="9" s="1"/>
  <c r="H265" i="3"/>
  <c r="H75" i="9" s="1"/>
  <c r="I264" i="3"/>
  <c r="I74" i="9" s="1"/>
  <c r="H264" i="3"/>
  <c r="H74" i="9" s="1"/>
  <c r="I263" i="3"/>
  <c r="I73" i="9"/>
  <c r="H263" i="3"/>
  <c r="H73" i="9"/>
  <c r="I262" i="3"/>
  <c r="I72" i="9" s="1"/>
  <c r="H262" i="3"/>
  <c r="H72" i="9"/>
  <c r="I261" i="3"/>
  <c r="I71" i="9" s="1"/>
  <c r="H261" i="3"/>
  <c r="H71" i="9" s="1"/>
  <c r="I260" i="3"/>
  <c r="I70" i="9" s="1"/>
  <c r="H260" i="3"/>
  <c r="H70" i="9" s="1"/>
  <c r="I259" i="3"/>
  <c r="I69" i="9" s="1"/>
  <c r="H259" i="3"/>
  <c r="H69" i="9"/>
  <c r="I258" i="3"/>
  <c r="I68" i="9" s="1"/>
  <c r="H258" i="3"/>
  <c r="H68" i="9" s="1"/>
  <c r="I257" i="3"/>
  <c r="I67" i="9"/>
  <c r="H257" i="3"/>
  <c r="H67" i="9" s="1"/>
  <c r="I256" i="3"/>
  <c r="I66" i="9" s="1"/>
  <c r="H256" i="3"/>
  <c r="H66" i="9"/>
  <c r="I255" i="3"/>
  <c r="I65" i="9" s="1"/>
  <c r="H255" i="3"/>
  <c r="H65" i="9" s="1"/>
  <c r="I254" i="3"/>
  <c r="I64" i="9" s="1"/>
  <c r="H254" i="3"/>
  <c r="H64" i="9" s="1"/>
  <c r="I253" i="3"/>
  <c r="I63" i="9" s="1"/>
  <c r="H253" i="3"/>
  <c r="H63" i="9"/>
  <c r="I251" i="3"/>
  <c r="I61" i="9" s="1"/>
  <c r="H251" i="3"/>
  <c r="H61" i="9"/>
  <c r="I250" i="3"/>
  <c r="I60" i="9"/>
  <c r="H250" i="3"/>
  <c r="H60" i="9" s="1"/>
  <c r="I249" i="3"/>
  <c r="I59" i="9" s="1"/>
  <c r="H249" i="3"/>
  <c r="H59" i="9" s="1"/>
  <c r="I248" i="3"/>
  <c r="I58" i="9" s="1"/>
  <c r="H248" i="3"/>
  <c r="H58" i="9" s="1"/>
  <c r="I247" i="3"/>
  <c r="I57" i="9" s="1"/>
  <c r="H247" i="3"/>
  <c r="H57" i="9" s="1"/>
  <c r="I246" i="3"/>
  <c r="I56" i="9"/>
  <c r="H246" i="3"/>
  <c r="H56" i="9"/>
  <c r="I245" i="3"/>
  <c r="I55" i="9" s="1"/>
  <c r="H245" i="3"/>
  <c r="H55" i="9"/>
  <c r="I244" i="3"/>
  <c r="I54" i="9"/>
  <c r="H244" i="3"/>
  <c r="H54" i="9" s="1"/>
  <c r="I243" i="3"/>
  <c r="I53" i="9" s="1"/>
  <c r="H243" i="3"/>
  <c r="H53" i="9" s="1"/>
  <c r="I242" i="3"/>
  <c r="I52" i="9" s="1"/>
  <c r="H242" i="3"/>
  <c r="H52" i="9"/>
  <c r="I241" i="3"/>
  <c r="I51" i="9" s="1"/>
  <c r="H241" i="3"/>
  <c r="H51" i="9" s="1"/>
  <c r="I240" i="3"/>
  <c r="I50" i="9"/>
  <c r="H240" i="3"/>
  <c r="H50" i="9"/>
  <c r="I239" i="3"/>
  <c r="I49" i="9" s="1"/>
  <c r="H239" i="3"/>
  <c r="H49" i="9"/>
  <c r="I238" i="3"/>
  <c r="I48" i="9" s="1"/>
  <c r="H238" i="3"/>
  <c r="H48" i="9" s="1"/>
  <c r="I237" i="3"/>
  <c r="I47" i="9" s="1"/>
  <c r="H237" i="3"/>
  <c r="H47" i="9" s="1"/>
  <c r="I236" i="3"/>
  <c r="I46" i="9" s="1"/>
  <c r="H236" i="3"/>
  <c r="H46" i="9"/>
  <c r="I235" i="3"/>
  <c r="I45" i="9" s="1"/>
  <c r="H235" i="3"/>
  <c r="H45" i="9"/>
  <c r="I234" i="3"/>
  <c r="I44" i="9"/>
  <c r="H234" i="3"/>
  <c r="H44" i="9" s="1"/>
  <c r="I233" i="3"/>
  <c r="I43" i="9" s="1"/>
  <c r="H233" i="3"/>
  <c r="H43" i="9" s="1"/>
  <c r="I231" i="3"/>
  <c r="I41" i="9" s="1"/>
  <c r="H231" i="3"/>
  <c r="H41" i="9" s="1"/>
  <c r="I230" i="3"/>
  <c r="I40" i="9" s="1"/>
  <c r="H230" i="3"/>
  <c r="H40" i="9" s="1"/>
  <c r="I229" i="3"/>
  <c r="I39" i="9"/>
  <c r="H229" i="3"/>
  <c r="H39" i="9"/>
  <c r="I228" i="3"/>
  <c r="I38" i="9" s="1"/>
  <c r="H228" i="3"/>
  <c r="H38" i="9"/>
  <c r="I227" i="3"/>
  <c r="I37" i="9"/>
  <c r="H227" i="3"/>
  <c r="H37" i="9" s="1"/>
  <c r="I225" i="3"/>
  <c r="I35" i="9" s="1"/>
  <c r="H225" i="3"/>
  <c r="H35" i="9" s="1"/>
  <c r="I224" i="3"/>
  <c r="I34" i="9" s="1"/>
  <c r="H224" i="3"/>
  <c r="H34" i="9"/>
  <c r="I223" i="3"/>
  <c r="I33" i="9" s="1"/>
  <c r="H223" i="3"/>
  <c r="H33" i="9" s="1"/>
  <c r="I222" i="3"/>
  <c r="I32" i="9"/>
  <c r="H222" i="3"/>
  <c r="H32" i="9" s="1"/>
  <c r="I221" i="3"/>
  <c r="I31" i="9" s="1"/>
  <c r="H221" i="3"/>
  <c r="H31" i="9"/>
  <c r="I220" i="3"/>
  <c r="I30" i="9" s="1"/>
  <c r="H220" i="3"/>
  <c r="H30" i="9" s="1"/>
  <c r="I219" i="3"/>
  <c r="I29" i="9" s="1"/>
  <c r="H219" i="3"/>
  <c r="H29" i="9" s="1"/>
  <c r="I218" i="3"/>
  <c r="I28" i="9" s="1"/>
  <c r="H218" i="3"/>
  <c r="H28" i="9"/>
  <c r="I217" i="3"/>
  <c r="I27" i="9" s="1"/>
  <c r="H217" i="3"/>
  <c r="H27" i="9"/>
  <c r="I216" i="3"/>
  <c r="I26" i="9"/>
  <c r="H216" i="3"/>
  <c r="H26" i="9" s="1"/>
  <c r="I215" i="3"/>
  <c r="I25" i="9" s="1"/>
  <c r="H215" i="3"/>
  <c r="H25" i="9" s="1"/>
  <c r="I214" i="3"/>
  <c r="I24" i="9" s="1"/>
  <c r="H214" i="3"/>
  <c r="H24" i="9" s="1"/>
  <c r="I213" i="3"/>
  <c r="I23" i="9" s="1"/>
  <c r="H213" i="3"/>
  <c r="H23" i="9" s="1"/>
  <c r="I212" i="3"/>
  <c r="I22" i="9"/>
  <c r="H212" i="3"/>
  <c r="H22" i="9"/>
  <c r="I211" i="3"/>
  <c r="I21" i="9" s="1"/>
  <c r="H211" i="3"/>
  <c r="H21" i="9"/>
  <c r="I210" i="3"/>
  <c r="I20" i="9" s="1"/>
  <c r="H210" i="3"/>
  <c r="H20" i="9" s="1"/>
  <c r="I209" i="3"/>
  <c r="I19" i="9" s="1"/>
  <c r="H209" i="3"/>
  <c r="H19" i="9" s="1"/>
  <c r="I208" i="3"/>
  <c r="I18" i="9" s="1"/>
  <c r="H208" i="3"/>
  <c r="H18" i="9"/>
  <c r="H206" i="3"/>
  <c r="H91" i="7" s="1"/>
  <c r="I205" i="3"/>
  <c r="I90" i="7" s="1"/>
  <c r="H205" i="3"/>
  <c r="H90" i="7"/>
  <c r="I204" i="3"/>
  <c r="I89" i="7" s="1"/>
  <c r="H204" i="3"/>
  <c r="H89" i="7" s="1"/>
  <c r="I203" i="3"/>
  <c r="I88" i="7"/>
  <c r="H203" i="3"/>
  <c r="H88" i="7" s="1"/>
  <c r="I202" i="3"/>
  <c r="I87" i="7" s="1"/>
  <c r="H202" i="3"/>
  <c r="H87" i="7" s="1"/>
  <c r="I201" i="3"/>
  <c r="I86" i="7" s="1"/>
  <c r="H201" i="3"/>
  <c r="H86" i="7" s="1"/>
  <c r="I200" i="3"/>
  <c r="I85" i="7"/>
  <c r="H200" i="3"/>
  <c r="H85" i="7" s="1"/>
  <c r="I198" i="3"/>
  <c r="I83" i="7"/>
  <c r="H198" i="3"/>
  <c r="H83" i="7"/>
  <c r="I197" i="3"/>
  <c r="I82" i="7" s="1"/>
  <c r="H197" i="3"/>
  <c r="H82" i="7" s="1"/>
  <c r="I196" i="3"/>
  <c r="I81" i="7" s="1"/>
  <c r="H196" i="3"/>
  <c r="H81" i="7" s="1"/>
  <c r="I195" i="3"/>
  <c r="I80" i="7" s="1"/>
  <c r="H195" i="3"/>
  <c r="H80" i="7" s="1"/>
  <c r="I194" i="3"/>
  <c r="I79" i="7" s="1"/>
  <c r="H194" i="3"/>
  <c r="H79" i="7"/>
  <c r="I193" i="3"/>
  <c r="I78" i="7"/>
  <c r="H193" i="3"/>
  <c r="H78" i="7" s="1"/>
  <c r="I192" i="3"/>
  <c r="I77" i="7"/>
  <c r="H192" i="3"/>
  <c r="H77" i="7" s="1"/>
  <c r="I191" i="3"/>
  <c r="I76" i="7" s="1"/>
  <c r="H191" i="3"/>
  <c r="H76" i="7" s="1"/>
  <c r="I190" i="3"/>
  <c r="I75" i="7" s="1"/>
  <c r="H190" i="3"/>
  <c r="H75" i="7" s="1"/>
  <c r="I189" i="3"/>
  <c r="I74" i="7"/>
  <c r="H189" i="3"/>
  <c r="H74" i="7" s="1"/>
  <c r="I188" i="3"/>
  <c r="I73" i="7" s="1"/>
  <c r="H188" i="3"/>
  <c r="H73" i="7"/>
  <c r="I187" i="3"/>
  <c r="I72" i="7" s="1"/>
  <c r="H187" i="3"/>
  <c r="H72" i="7" s="1"/>
  <c r="I186" i="3"/>
  <c r="I71" i="7"/>
  <c r="H186" i="3"/>
  <c r="H71" i="7" s="1"/>
  <c r="I185" i="3"/>
  <c r="I70" i="7" s="1"/>
  <c r="H185" i="3"/>
  <c r="H70" i="7" s="1"/>
  <c r="H183" i="3"/>
  <c r="H68" i="7" s="1"/>
  <c r="H182" i="3"/>
  <c r="H67" i="7" s="1"/>
  <c r="H181" i="3"/>
  <c r="H66" i="7"/>
  <c r="I180" i="3"/>
  <c r="I65" i="7" s="1"/>
  <c r="H180" i="3"/>
  <c r="H65" i="7"/>
  <c r="I179" i="3"/>
  <c r="I64" i="7"/>
  <c r="H179" i="3"/>
  <c r="H64" i="7" s="1"/>
  <c r="I178" i="3"/>
  <c r="I63" i="7" s="1"/>
  <c r="H178" i="3"/>
  <c r="H63" i="7" s="1"/>
  <c r="I177" i="3"/>
  <c r="I62" i="7" s="1"/>
  <c r="H177" i="3"/>
  <c r="H62" i="7" s="1"/>
  <c r="I176" i="3"/>
  <c r="I61" i="7" s="1"/>
  <c r="H176" i="3"/>
  <c r="H61" i="7" s="1"/>
  <c r="I174" i="3"/>
  <c r="I59" i="7"/>
  <c r="H174" i="3"/>
  <c r="H59" i="7"/>
  <c r="I173" i="3"/>
  <c r="I58" i="7" s="1"/>
  <c r="H173" i="3"/>
  <c r="H58" i="7"/>
  <c r="I172" i="3"/>
  <c r="I57" i="7" s="1"/>
  <c r="H172" i="3"/>
  <c r="H57" i="7" s="1"/>
  <c r="I171" i="3"/>
  <c r="I56" i="7" s="1"/>
  <c r="H171" i="3"/>
  <c r="H56" i="7" s="1"/>
  <c r="I170" i="3"/>
  <c r="I55" i="7" s="1"/>
  <c r="H170" i="3"/>
  <c r="H55" i="7"/>
  <c r="I169" i="3"/>
  <c r="I54" i="7" s="1"/>
  <c r="H169" i="3"/>
  <c r="H54" i="7" s="1"/>
  <c r="I168" i="3"/>
  <c r="I53" i="7"/>
  <c r="H168" i="3"/>
  <c r="H53" i="7" s="1"/>
  <c r="I167" i="3"/>
  <c r="I52" i="7" s="1"/>
  <c r="H167" i="3"/>
  <c r="H52" i="7"/>
  <c r="I166" i="3"/>
  <c r="I51" i="7" s="1"/>
  <c r="H166" i="3"/>
  <c r="H51" i="7" s="1"/>
  <c r="I165" i="3"/>
  <c r="I50" i="7" s="1"/>
  <c r="H165" i="3"/>
  <c r="H50" i="7" s="1"/>
  <c r="I164" i="3"/>
  <c r="I49" i="7" s="1"/>
  <c r="H164" i="3"/>
  <c r="H49" i="7"/>
  <c r="I163" i="3"/>
  <c r="I48" i="7" s="1"/>
  <c r="H163" i="3"/>
  <c r="H48" i="7"/>
  <c r="I161" i="3"/>
  <c r="I46" i="7"/>
  <c r="H161" i="3"/>
  <c r="H46" i="7" s="1"/>
  <c r="I160" i="3"/>
  <c r="I45" i="7" s="1"/>
  <c r="H160" i="3"/>
  <c r="H45" i="7" s="1"/>
  <c r="I159" i="3"/>
  <c r="I44" i="7" s="1"/>
  <c r="H159" i="3"/>
  <c r="H44" i="7" s="1"/>
  <c r="I158" i="3"/>
  <c r="I43" i="7" s="1"/>
  <c r="H158" i="3"/>
  <c r="H43" i="7" s="1"/>
  <c r="I157" i="3"/>
  <c r="I42" i="7"/>
  <c r="H157" i="3"/>
  <c r="H42" i="7"/>
  <c r="I156" i="3"/>
  <c r="I41" i="7" s="1"/>
  <c r="H156" i="3"/>
  <c r="H41" i="7"/>
  <c r="I155" i="3"/>
  <c r="I40" i="7" s="1"/>
  <c r="H155" i="3"/>
  <c r="H40" i="7" s="1"/>
  <c r="I154" i="3"/>
  <c r="I39" i="7" s="1"/>
  <c r="H154" i="3"/>
  <c r="H39" i="7" s="1"/>
  <c r="I153" i="3"/>
  <c r="I38" i="7" s="1"/>
  <c r="H153" i="3"/>
  <c r="H38" i="7"/>
  <c r="I152" i="3"/>
  <c r="I37" i="7" s="1"/>
  <c r="H152" i="3"/>
  <c r="H37" i="7" s="1"/>
  <c r="I151" i="3"/>
  <c r="I36" i="7"/>
  <c r="H151" i="3"/>
  <c r="H36" i="7" s="1"/>
  <c r="I150" i="3"/>
  <c r="I35" i="7" s="1"/>
  <c r="H150" i="3"/>
  <c r="H35" i="7"/>
  <c r="I148" i="3"/>
  <c r="I33" i="7" s="1"/>
  <c r="H148" i="3"/>
  <c r="H33" i="7" s="1"/>
  <c r="I147" i="3"/>
  <c r="I32" i="7" s="1"/>
  <c r="H147" i="3"/>
  <c r="H32" i="7" s="1"/>
  <c r="I146" i="3"/>
  <c r="I31" i="7" s="1"/>
  <c r="I145" i="3"/>
  <c r="I30" i="7"/>
  <c r="H145" i="3"/>
  <c r="H30" i="7" s="1"/>
  <c r="I144" i="3"/>
  <c r="I29" i="7"/>
  <c r="H144" i="3"/>
  <c r="H29" i="7"/>
  <c r="I143" i="3"/>
  <c r="I28" i="7" s="1"/>
  <c r="H143" i="3"/>
  <c r="H28" i="7" s="1"/>
  <c r="I142" i="3"/>
  <c r="I27" i="7" s="1"/>
  <c r="H142" i="3"/>
  <c r="H27" i="7" s="1"/>
  <c r="I141" i="3"/>
  <c r="I26" i="7" s="1"/>
  <c r="H141" i="3"/>
  <c r="H26" i="7" s="1"/>
  <c r="I140" i="3"/>
  <c r="I25" i="7" s="1"/>
  <c r="H140" i="3"/>
  <c r="H25" i="7"/>
  <c r="I139" i="3"/>
  <c r="I24" i="7"/>
  <c r="H139" i="3"/>
  <c r="H24" i="7" s="1"/>
  <c r="I138" i="3"/>
  <c r="I23" i="7"/>
  <c r="H138" i="3"/>
  <c r="H23" i="7" s="1"/>
  <c r="I137" i="3"/>
  <c r="I22" i="7" s="1"/>
  <c r="H137" i="3"/>
  <c r="H22" i="7" s="1"/>
  <c r="I136" i="3"/>
  <c r="I21" i="7" s="1"/>
  <c r="H136" i="3"/>
  <c r="H21" i="7" s="1"/>
  <c r="H135" i="3"/>
  <c r="H20" i="7"/>
  <c r="I133" i="3"/>
  <c r="I18" i="7" s="1"/>
  <c r="H133" i="3"/>
  <c r="H18" i="7" s="1"/>
  <c r="I132" i="3"/>
  <c r="I17" i="7"/>
  <c r="H132" i="3"/>
  <c r="H17" i="7" s="1"/>
  <c r="I131" i="3"/>
  <c r="I16" i="7" s="1"/>
  <c r="H131" i="3"/>
  <c r="H16" i="7"/>
  <c r="I130" i="3"/>
  <c r="I15" i="7" s="1"/>
  <c r="H130" i="3"/>
  <c r="H15" i="7" s="1"/>
  <c r="I129" i="3"/>
  <c r="I14" i="7" s="1"/>
  <c r="H129" i="3"/>
  <c r="H14" i="7" s="1"/>
  <c r="I128" i="3"/>
  <c r="I13" i="7" s="1"/>
  <c r="H128" i="3"/>
  <c r="H13" i="7"/>
  <c r="I127" i="3"/>
  <c r="I12" i="7" s="1"/>
  <c r="H127" i="3"/>
  <c r="H12" i="7"/>
  <c r="I126" i="3"/>
  <c r="I11" i="7"/>
  <c r="H126" i="3"/>
  <c r="H11" i="7" s="1"/>
  <c r="I125" i="3"/>
  <c r="I10" i="7" s="1"/>
  <c r="H125" i="3"/>
  <c r="H10" i="7" s="1"/>
  <c r="I124" i="3"/>
  <c r="I9" i="7" s="1"/>
  <c r="H124" i="3"/>
  <c r="H9" i="7" s="1"/>
  <c r="I122" i="3"/>
  <c r="I7" i="7" s="1"/>
  <c r="H122" i="3"/>
  <c r="H7" i="7" s="1"/>
  <c r="I121" i="3"/>
  <c r="I6" i="7"/>
  <c r="H121" i="3"/>
  <c r="H6" i="7"/>
  <c r="I120" i="3"/>
  <c r="I5" i="7" s="1"/>
  <c r="H120" i="3"/>
  <c r="H5" i="7"/>
  <c r="I119" i="3"/>
  <c r="I4" i="7" s="1"/>
  <c r="H119" i="3"/>
  <c r="H4" i="7" s="1"/>
  <c r="I117" i="3"/>
  <c r="I16" i="9" s="1"/>
  <c r="H117" i="3"/>
  <c r="H16" i="9" s="1"/>
  <c r="I116" i="3"/>
  <c r="I15" i="9" s="1"/>
  <c r="H116" i="3"/>
  <c r="H15" i="9"/>
  <c r="I115" i="3"/>
  <c r="I14" i="9" s="1"/>
  <c r="H115" i="3"/>
  <c r="H14" i="9" s="1"/>
  <c r="I114" i="3"/>
  <c r="I13" i="9"/>
  <c r="H114" i="3"/>
  <c r="H13" i="9" s="1"/>
  <c r="I113" i="3"/>
  <c r="I12" i="9" s="1"/>
  <c r="H113" i="3"/>
  <c r="H12" i="9"/>
  <c r="I112" i="3"/>
  <c r="I11" i="9" s="1"/>
  <c r="H112" i="3"/>
  <c r="H11" i="9" s="1"/>
  <c r="I111" i="3"/>
  <c r="I10" i="9" s="1"/>
  <c r="H111" i="3"/>
  <c r="H10" i="9" s="1"/>
  <c r="I110" i="3"/>
  <c r="I9" i="9" s="1"/>
  <c r="H110" i="3"/>
  <c r="H9" i="9"/>
  <c r="I109" i="3"/>
  <c r="I8" i="9" s="1"/>
  <c r="H109" i="3"/>
  <c r="H8" i="9"/>
  <c r="I108" i="3"/>
  <c r="I7" i="9"/>
  <c r="H108" i="3"/>
  <c r="H7" i="9" s="1"/>
  <c r="I107" i="3"/>
  <c r="I6" i="9" s="1"/>
  <c r="H107" i="3"/>
  <c r="H6" i="9" s="1"/>
  <c r="I106" i="3"/>
  <c r="I5" i="9" s="1"/>
  <c r="H106" i="3"/>
  <c r="H5" i="9" s="1"/>
  <c r="I105" i="3"/>
  <c r="I4" i="9" s="1"/>
  <c r="H105" i="3"/>
  <c r="H4" i="9" s="1"/>
  <c r="I103" i="3"/>
  <c r="I19" i="8"/>
  <c r="H103" i="3"/>
  <c r="H19" i="8"/>
  <c r="I102" i="3"/>
  <c r="I18" i="8" s="1"/>
  <c r="H102" i="3"/>
  <c r="H18" i="8"/>
  <c r="I101" i="3"/>
  <c r="I17" i="8" s="1"/>
  <c r="H101" i="3"/>
  <c r="H17" i="8" s="1"/>
  <c r="I100" i="3"/>
  <c r="I16" i="8" s="1"/>
  <c r="H100" i="3"/>
  <c r="H16" i="8" s="1"/>
  <c r="I99" i="3"/>
  <c r="I15" i="8" s="1"/>
  <c r="H99" i="3"/>
  <c r="H15" i="8"/>
  <c r="I98" i="3"/>
  <c r="I14" i="8" s="1"/>
  <c r="H98" i="3"/>
  <c r="H14" i="8" s="1"/>
  <c r="I97" i="3"/>
  <c r="I13" i="8"/>
  <c r="H97" i="3"/>
  <c r="H13" i="8" s="1"/>
  <c r="I96" i="3"/>
  <c r="I12" i="8" s="1"/>
  <c r="H96" i="3"/>
  <c r="H12" i="8"/>
  <c r="I95" i="3"/>
  <c r="I11" i="8" s="1"/>
  <c r="H95" i="3"/>
  <c r="H11" i="8" s="1"/>
  <c r="I94" i="3"/>
  <c r="I10" i="8" s="1"/>
  <c r="H94" i="3"/>
  <c r="H10" i="8" s="1"/>
  <c r="I93" i="3"/>
  <c r="I9" i="8" s="1"/>
  <c r="H93" i="3"/>
  <c r="H9" i="8"/>
  <c r="I92" i="3"/>
  <c r="I8" i="8" s="1"/>
  <c r="H92" i="3"/>
  <c r="H8" i="8"/>
  <c r="I91" i="3"/>
  <c r="I7" i="8"/>
  <c r="H91" i="3"/>
  <c r="H7" i="8" s="1"/>
  <c r="I90" i="3"/>
  <c r="I6" i="8" s="1"/>
  <c r="H90" i="3"/>
  <c r="H6" i="8" s="1"/>
  <c r="I89" i="3"/>
  <c r="I5" i="8" s="1"/>
  <c r="H89" i="3"/>
  <c r="H5" i="8" s="1"/>
  <c r="I88" i="3"/>
  <c r="I4" i="8" s="1"/>
  <c r="H88" i="3"/>
  <c r="H4" i="8" s="1"/>
  <c r="I86" i="3"/>
  <c r="I77" i="6"/>
  <c r="H86" i="3"/>
  <c r="H77" i="6"/>
  <c r="I85" i="3"/>
  <c r="I76" i="6" s="1"/>
  <c r="H85" i="3"/>
  <c r="H76" i="6"/>
  <c r="I84" i="3"/>
  <c r="I75" i="6" s="1"/>
  <c r="H84" i="3"/>
  <c r="H75" i="6" s="1"/>
  <c r="I83" i="3"/>
  <c r="I74" i="6" s="1"/>
  <c r="H83" i="3"/>
  <c r="H74" i="6" s="1"/>
  <c r="I82" i="3"/>
  <c r="I73" i="6" s="1"/>
  <c r="H82" i="3"/>
  <c r="H73" i="6"/>
  <c r="I81" i="3"/>
  <c r="I72" i="6" s="1"/>
  <c r="H81" i="3"/>
  <c r="H72" i="6" s="1"/>
  <c r="I80" i="3"/>
  <c r="I71" i="6"/>
  <c r="H80" i="3"/>
  <c r="H71" i="6" s="1"/>
  <c r="I78" i="3"/>
  <c r="I83" i="6" s="1"/>
  <c r="H78" i="3"/>
  <c r="H83" i="6"/>
  <c r="I77" i="3"/>
  <c r="I82" i="6" s="1"/>
  <c r="H77" i="3"/>
  <c r="H82" i="6" s="1"/>
  <c r="I76" i="3"/>
  <c r="I81" i="6" s="1"/>
  <c r="H76" i="3"/>
  <c r="H81" i="6" s="1"/>
  <c r="I75" i="3"/>
  <c r="I80" i="6" s="1"/>
  <c r="H75" i="3"/>
  <c r="H80" i="6"/>
  <c r="I74" i="3"/>
  <c r="I79" i="6" s="1"/>
  <c r="H74" i="3"/>
  <c r="H79" i="6"/>
  <c r="I72" i="3"/>
  <c r="I69" i="6"/>
  <c r="H72" i="3"/>
  <c r="H69" i="6" s="1"/>
  <c r="I71" i="3"/>
  <c r="I68" i="6" s="1"/>
  <c r="H71" i="3"/>
  <c r="H68" i="6" s="1"/>
  <c r="I70" i="3"/>
  <c r="I67" i="6" s="1"/>
  <c r="H70" i="3"/>
  <c r="H67" i="6" s="1"/>
  <c r="I69" i="3"/>
  <c r="I66" i="6" s="1"/>
  <c r="H69" i="3"/>
  <c r="H66" i="6" s="1"/>
  <c r="I68" i="3"/>
  <c r="I65" i="6" s="1"/>
  <c r="H68" i="3"/>
  <c r="H65" i="6" s="1"/>
  <c r="I67" i="3"/>
  <c r="I64" i="6" s="1"/>
  <c r="H67" i="3"/>
  <c r="H64" i="6" s="1"/>
  <c r="I66" i="3"/>
  <c r="I63" i="6" s="1"/>
  <c r="H66" i="3"/>
  <c r="H63" i="6" s="1"/>
  <c r="I65" i="3"/>
  <c r="I62" i="6" s="1"/>
  <c r="H65" i="3"/>
  <c r="H62" i="6"/>
  <c r="I64" i="3"/>
  <c r="I61" i="6" s="1"/>
  <c r="H64" i="3"/>
  <c r="H61" i="6"/>
  <c r="I63" i="3"/>
  <c r="I60" i="6" s="1"/>
  <c r="H63" i="3"/>
  <c r="H60" i="6" s="1"/>
  <c r="I62" i="3"/>
  <c r="I59" i="6" s="1"/>
  <c r="H62" i="3"/>
  <c r="H59" i="6"/>
  <c r="I61" i="3"/>
  <c r="I58" i="6" s="1"/>
  <c r="H61" i="3"/>
  <c r="H58" i="6"/>
  <c r="I60" i="3"/>
  <c r="I57" i="6" s="1"/>
  <c r="H60" i="3"/>
  <c r="H57" i="6" s="1"/>
  <c r="I59" i="3"/>
  <c r="I56" i="6" s="1"/>
  <c r="H59" i="3"/>
  <c r="H56" i="6" s="1"/>
  <c r="I57" i="3"/>
  <c r="I54" i="6" s="1"/>
  <c r="H57" i="3"/>
  <c r="H54" i="6" s="1"/>
  <c r="I56" i="3"/>
  <c r="I53" i="6" s="1"/>
  <c r="H56" i="3"/>
  <c r="H53" i="6" s="1"/>
  <c r="I55" i="3"/>
  <c r="I52" i="6" s="1"/>
  <c r="H55" i="3"/>
  <c r="H52" i="6"/>
  <c r="I54" i="3"/>
  <c r="I51" i="6" s="1"/>
  <c r="H54" i="3"/>
  <c r="H51" i="6" s="1"/>
  <c r="I53" i="3"/>
  <c r="I50" i="6" s="1"/>
  <c r="H53" i="3"/>
  <c r="H50" i="6"/>
  <c r="I52" i="3"/>
  <c r="I49" i="6" s="1"/>
  <c r="H52" i="3"/>
  <c r="H49" i="6" s="1"/>
  <c r="I51" i="3"/>
  <c r="I48" i="6" s="1"/>
  <c r="H51" i="3"/>
  <c r="H48" i="6"/>
  <c r="I50" i="3"/>
  <c r="I47" i="6" s="1"/>
  <c r="H50" i="3"/>
  <c r="H47" i="6" s="1"/>
  <c r="I49" i="3"/>
  <c r="I46" i="6" s="1"/>
  <c r="H49" i="3"/>
  <c r="H46" i="6" s="1"/>
  <c r="I48" i="3"/>
  <c r="I45" i="6" s="1"/>
  <c r="H48" i="3"/>
  <c r="H45" i="6" s="1"/>
  <c r="I47" i="3"/>
  <c r="I44" i="6" s="1"/>
  <c r="H47" i="3"/>
  <c r="H44" i="6" s="1"/>
  <c r="I45" i="3"/>
  <c r="I42" i="6" s="1"/>
  <c r="H45" i="3"/>
  <c r="H42" i="6" s="1"/>
  <c r="I44" i="3"/>
  <c r="I41" i="6" s="1"/>
  <c r="H44" i="3"/>
  <c r="H41" i="6" s="1"/>
  <c r="I43" i="3"/>
  <c r="I40" i="6" s="1"/>
  <c r="H43" i="3"/>
  <c r="H40" i="6" s="1"/>
  <c r="I42" i="3"/>
  <c r="I39" i="6" s="1"/>
  <c r="H42" i="3"/>
  <c r="H39" i="6"/>
  <c r="I41" i="3"/>
  <c r="I38" i="6" s="1"/>
  <c r="H41" i="3"/>
  <c r="H38" i="6" s="1"/>
  <c r="I40" i="3"/>
  <c r="I37" i="6" s="1"/>
  <c r="H40" i="3"/>
  <c r="H37" i="6"/>
  <c r="I39" i="3"/>
  <c r="I36" i="6" s="1"/>
  <c r="H39" i="3"/>
  <c r="H36" i="6"/>
  <c r="I38" i="3"/>
  <c r="I35" i="6"/>
  <c r="H38" i="3"/>
  <c r="H35" i="6" s="1"/>
  <c r="I37" i="3"/>
  <c r="I34" i="6" s="1"/>
  <c r="H37" i="3"/>
  <c r="H34" i="6" s="1"/>
  <c r="I36" i="3"/>
  <c r="I33" i="6" s="1"/>
  <c r="H36" i="3"/>
  <c r="H33" i="6" s="1"/>
  <c r="I35" i="3"/>
  <c r="I32" i="6" s="1"/>
  <c r="H35" i="3"/>
  <c r="H32" i="6" s="1"/>
  <c r="I32" i="3"/>
  <c r="I30" i="6"/>
  <c r="H32" i="3"/>
  <c r="H30" i="6" s="1"/>
  <c r="I31" i="3"/>
  <c r="I29" i="6" s="1"/>
  <c r="H31" i="3"/>
  <c r="H29" i="6"/>
  <c r="I30" i="3"/>
  <c r="I28" i="6" s="1"/>
  <c r="H30" i="3"/>
  <c r="H28" i="6"/>
  <c r="I29" i="3"/>
  <c r="I27" i="6" s="1"/>
  <c r="H29" i="3"/>
  <c r="H27" i="6"/>
  <c r="I28" i="3"/>
  <c r="I26" i="6" s="1"/>
  <c r="H28" i="3"/>
  <c r="H26" i="6"/>
  <c r="H25" i="3"/>
  <c r="H23" i="6" s="1"/>
  <c r="H24" i="3"/>
  <c r="H22" i="6" s="1"/>
  <c r="I15" i="3"/>
  <c r="I13" i="6" s="1"/>
  <c r="H15" i="3"/>
  <c r="H13" i="6"/>
  <c r="H13" i="3"/>
  <c r="H11" i="6" s="1"/>
  <c r="H12" i="3"/>
  <c r="H10" i="6"/>
  <c r="H11" i="3"/>
  <c r="H9" i="6"/>
  <c r="I10" i="3"/>
  <c r="I8" i="6" s="1"/>
  <c r="H10" i="3"/>
  <c r="H8" i="6" s="1"/>
  <c r="I9" i="3"/>
  <c r="I7" i="6" s="1"/>
  <c r="H9" i="3"/>
  <c r="H7" i="6" s="1"/>
  <c r="I8" i="3"/>
  <c r="I6" i="6" s="1"/>
  <c r="H8" i="3"/>
  <c r="H6" i="6" s="1"/>
  <c r="I7" i="3"/>
  <c r="I5" i="6" s="1"/>
  <c r="H7" i="3"/>
  <c r="H5" i="6"/>
  <c r="I6" i="3"/>
  <c r="I4" i="6"/>
  <c r="H6" i="3"/>
  <c r="H4" i="6" s="1"/>
  <c r="E285" i="3"/>
  <c r="E95" i="9" s="1"/>
  <c r="D286" i="3"/>
  <c r="D96" i="9" s="1"/>
  <c r="E286" i="3"/>
  <c r="E96" i="9"/>
  <c r="D287" i="3"/>
  <c r="D97" i="9" s="1"/>
  <c r="E287" i="3"/>
  <c r="E97" i="9" s="1"/>
  <c r="D288" i="3"/>
  <c r="D98" i="9" s="1"/>
  <c r="E288" i="3"/>
  <c r="E98" i="9" s="1"/>
  <c r="D289" i="3"/>
  <c r="D99" i="9" s="1"/>
  <c r="E289" i="3"/>
  <c r="E99" i="9"/>
  <c r="D285" i="3"/>
  <c r="D95" i="9" s="1"/>
  <c r="E284" i="3"/>
  <c r="E94" i="9" s="1"/>
  <c r="D284" i="3"/>
  <c r="D94" i="9" s="1"/>
  <c r="E283" i="3"/>
  <c r="E93" i="9" s="1"/>
  <c r="D283" i="3"/>
  <c r="D93" i="9" s="1"/>
  <c r="E282" i="3"/>
  <c r="E92" i="9"/>
  <c r="D282" i="3"/>
  <c r="D92" i="9" s="1"/>
  <c r="E281" i="3"/>
  <c r="E91" i="9" s="1"/>
  <c r="D281" i="3"/>
  <c r="D91" i="9" s="1"/>
  <c r="E279" i="3"/>
  <c r="E89" i="9" s="1"/>
  <c r="D279" i="3"/>
  <c r="D89" i="9" s="1"/>
  <c r="E278" i="3"/>
  <c r="E88" i="9" s="1"/>
  <c r="D278" i="3"/>
  <c r="D88" i="9" s="1"/>
  <c r="E277" i="3"/>
  <c r="E87" i="9" s="1"/>
  <c r="D277" i="3"/>
  <c r="D87" i="9"/>
  <c r="E276" i="3"/>
  <c r="E86" i="9"/>
  <c r="D276" i="3"/>
  <c r="D86" i="9" s="1"/>
  <c r="E275" i="3"/>
  <c r="E85" i="9" s="1"/>
  <c r="D275" i="3"/>
  <c r="D85" i="9" s="1"/>
  <c r="E274" i="3"/>
  <c r="E84" i="9" s="1"/>
  <c r="D274" i="3"/>
  <c r="D84" i="9" s="1"/>
  <c r="E273" i="3"/>
  <c r="E83" i="9" s="1"/>
  <c r="D273" i="3"/>
  <c r="D83" i="9" s="1"/>
  <c r="E272" i="3"/>
  <c r="E82" i="9"/>
  <c r="D272" i="3"/>
  <c r="D82" i="9" s="1"/>
  <c r="E271" i="3"/>
  <c r="E81" i="9" s="1"/>
  <c r="D271" i="3"/>
  <c r="D81" i="9"/>
  <c r="E270" i="3"/>
  <c r="E80" i="9" s="1"/>
  <c r="D270" i="3"/>
  <c r="D80" i="9"/>
  <c r="E268" i="3"/>
  <c r="E78" i="9" s="1"/>
  <c r="D268" i="3"/>
  <c r="D78" i="9"/>
  <c r="E267" i="3"/>
  <c r="E77" i="9" s="1"/>
  <c r="D267" i="3"/>
  <c r="D77" i="9"/>
  <c r="E266" i="3"/>
  <c r="E76" i="9" s="1"/>
  <c r="D266" i="3"/>
  <c r="D76" i="9"/>
  <c r="E265" i="3"/>
  <c r="E75" i="9"/>
  <c r="D265" i="3"/>
  <c r="D75" i="9" s="1"/>
  <c r="E264" i="3"/>
  <c r="E74" i="9" s="1"/>
  <c r="D264" i="3"/>
  <c r="D74" i="9" s="1"/>
  <c r="E263" i="3"/>
  <c r="E73" i="9"/>
  <c r="D263" i="3"/>
  <c r="D73" i="9" s="1"/>
  <c r="E262" i="3"/>
  <c r="E72" i="9" s="1"/>
  <c r="D262" i="3"/>
  <c r="D72" i="9" s="1"/>
  <c r="E261" i="3"/>
  <c r="E71" i="9" s="1"/>
  <c r="D261" i="3"/>
  <c r="D71" i="9"/>
  <c r="E260" i="3"/>
  <c r="E70" i="9" s="1"/>
  <c r="D260" i="3"/>
  <c r="D70" i="9"/>
  <c r="E259" i="3"/>
  <c r="E69" i="9"/>
  <c r="D259" i="3"/>
  <c r="D69" i="9"/>
  <c r="E258" i="3"/>
  <c r="E68" i="9" s="1"/>
  <c r="D258" i="3"/>
  <c r="D68" i="9" s="1"/>
  <c r="E257" i="3"/>
  <c r="E67" i="9" s="1"/>
  <c r="D257" i="3"/>
  <c r="D67" i="9"/>
  <c r="E256" i="3"/>
  <c r="E66" i="9" s="1"/>
  <c r="D256" i="3"/>
  <c r="D66" i="9" s="1"/>
  <c r="E255" i="3"/>
  <c r="E65" i="9"/>
  <c r="D255" i="3"/>
  <c r="D65" i="9" s="1"/>
  <c r="E254" i="3"/>
  <c r="E64" i="9" s="1"/>
  <c r="D254" i="3"/>
  <c r="D64" i="9" s="1"/>
  <c r="E253" i="3"/>
  <c r="E63" i="9" s="1"/>
  <c r="D253" i="3"/>
  <c r="D63" i="9" s="1"/>
  <c r="E251" i="3"/>
  <c r="E61" i="9" s="1"/>
  <c r="D251" i="3"/>
  <c r="D61" i="9" s="1"/>
  <c r="E250" i="3"/>
  <c r="E60" i="9" s="1"/>
  <c r="D250" i="3"/>
  <c r="D60" i="9"/>
  <c r="E249" i="3"/>
  <c r="E59" i="9" s="1"/>
  <c r="D249" i="3"/>
  <c r="D59" i="9"/>
  <c r="E248" i="3"/>
  <c r="E58" i="9" s="1"/>
  <c r="D248" i="3"/>
  <c r="D58" i="9" s="1"/>
  <c r="E247" i="3"/>
  <c r="E57" i="9" s="1"/>
  <c r="D247" i="3"/>
  <c r="D57" i="9" s="1"/>
  <c r="E246" i="3"/>
  <c r="E56" i="9" s="1"/>
  <c r="D246" i="3"/>
  <c r="D56" i="9"/>
  <c r="E245" i="3"/>
  <c r="E55" i="9" s="1"/>
  <c r="D245" i="3"/>
  <c r="D55" i="9"/>
  <c r="E244" i="3"/>
  <c r="E54" i="9"/>
  <c r="D244" i="3"/>
  <c r="D54" i="9" s="1"/>
  <c r="E243" i="3"/>
  <c r="E53" i="9" s="1"/>
  <c r="D243" i="3"/>
  <c r="D53" i="9"/>
  <c r="E242" i="3"/>
  <c r="E52" i="9" s="1"/>
  <c r="D242" i="3"/>
  <c r="D52" i="9" s="1"/>
  <c r="E241" i="3"/>
  <c r="E51" i="9" s="1"/>
  <c r="D241" i="3"/>
  <c r="D51" i="9" s="1"/>
  <c r="E240" i="3"/>
  <c r="E50" i="9"/>
  <c r="D240" i="3"/>
  <c r="D50" i="9"/>
  <c r="E239" i="3"/>
  <c r="E49" i="9" s="1"/>
  <c r="D239" i="3"/>
  <c r="D49" i="9"/>
  <c r="E238" i="3"/>
  <c r="E48" i="9"/>
  <c r="D238" i="3"/>
  <c r="D48" i="9" s="1"/>
  <c r="E237" i="3"/>
  <c r="E47" i="9" s="1"/>
  <c r="D237" i="3"/>
  <c r="D47" i="9" s="1"/>
  <c r="E236" i="3"/>
  <c r="E46" i="9" s="1"/>
  <c r="D236" i="3"/>
  <c r="D46" i="9"/>
  <c r="E235" i="3"/>
  <c r="E45" i="9" s="1"/>
  <c r="D235" i="3"/>
  <c r="D45" i="9" s="1"/>
  <c r="E234" i="3"/>
  <c r="E44" i="9"/>
  <c r="D234" i="3"/>
  <c r="D44" i="9"/>
  <c r="E233" i="3"/>
  <c r="E43" i="9" s="1"/>
  <c r="D233" i="3"/>
  <c r="D43" i="9"/>
  <c r="E231" i="3"/>
  <c r="E41" i="9" s="1"/>
  <c r="D231" i="3"/>
  <c r="D41" i="9" s="1"/>
  <c r="E230" i="3"/>
  <c r="E40" i="9" s="1"/>
  <c r="D230" i="3"/>
  <c r="D40" i="9" s="1"/>
  <c r="E229" i="3"/>
  <c r="E39" i="9" s="1"/>
  <c r="D229" i="3"/>
  <c r="D39" i="9"/>
  <c r="E228" i="3"/>
  <c r="E38" i="9" s="1"/>
  <c r="D228" i="3"/>
  <c r="D38" i="9"/>
  <c r="E227" i="3"/>
  <c r="E37" i="9"/>
  <c r="D227" i="3"/>
  <c r="D37" i="9" s="1"/>
  <c r="E225" i="3"/>
  <c r="E35" i="9" s="1"/>
  <c r="D225" i="3"/>
  <c r="D35" i="9"/>
  <c r="E224" i="3"/>
  <c r="E34" i="9" s="1"/>
  <c r="D224" i="3"/>
  <c r="D34" i="9" s="1"/>
  <c r="E223" i="3"/>
  <c r="E33" i="9" s="1"/>
  <c r="D223" i="3"/>
  <c r="D33" i="9" s="1"/>
  <c r="E222" i="3"/>
  <c r="E32" i="9"/>
  <c r="D222" i="3"/>
  <c r="D32" i="9"/>
  <c r="E221" i="3"/>
  <c r="E31" i="9" s="1"/>
  <c r="D221" i="3"/>
  <c r="D31" i="9"/>
  <c r="E220" i="3"/>
  <c r="E30" i="9"/>
  <c r="D220" i="3"/>
  <c r="D30" i="9" s="1"/>
  <c r="E219" i="3"/>
  <c r="E29" i="9" s="1"/>
  <c r="D219" i="3"/>
  <c r="D29" i="9" s="1"/>
  <c r="E218" i="3"/>
  <c r="E28" i="9" s="1"/>
  <c r="D218" i="3"/>
  <c r="D28" i="9"/>
  <c r="E217" i="3"/>
  <c r="E27" i="9" s="1"/>
  <c r="D217" i="3"/>
  <c r="D27" i="9" s="1"/>
  <c r="E216" i="3"/>
  <c r="E26" i="9"/>
  <c r="D216" i="3"/>
  <c r="D26" i="9"/>
  <c r="E215" i="3"/>
  <c r="E25" i="9" s="1"/>
  <c r="D215" i="3"/>
  <c r="D25" i="9"/>
  <c r="E214" i="3"/>
  <c r="E24" i="9" s="1"/>
  <c r="D214" i="3"/>
  <c r="D24" i="9" s="1"/>
  <c r="E213" i="3"/>
  <c r="E23" i="9" s="1"/>
  <c r="D213" i="3"/>
  <c r="D23" i="9" s="1"/>
  <c r="E212" i="3"/>
  <c r="E22" i="9" s="1"/>
  <c r="D212" i="3"/>
  <c r="D22" i="9"/>
  <c r="E211" i="3"/>
  <c r="E21" i="9" s="1"/>
  <c r="D211" i="3"/>
  <c r="D21" i="9"/>
  <c r="E210" i="3"/>
  <c r="E20" i="9"/>
  <c r="D210" i="3"/>
  <c r="D20" i="9" s="1"/>
  <c r="E209" i="3"/>
  <c r="E19" i="9" s="1"/>
  <c r="D209" i="3"/>
  <c r="D19" i="9"/>
  <c r="E208" i="3"/>
  <c r="E18" i="9" s="1"/>
  <c r="D208" i="3"/>
  <c r="D18" i="9" s="1"/>
  <c r="D206" i="3"/>
  <c r="D91" i="7" s="1"/>
  <c r="E205" i="3"/>
  <c r="E90" i="7" s="1"/>
  <c r="D205" i="3"/>
  <c r="D90" i="7"/>
  <c r="E204" i="3"/>
  <c r="E89" i="7"/>
  <c r="D204" i="3"/>
  <c r="D89" i="7" s="1"/>
  <c r="E203" i="3"/>
  <c r="E88" i="7"/>
  <c r="D203" i="3"/>
  <c r="D88" i="7"/>
  <c r="E202" i="3"/>
  <c r="E87" i="7" s="1"/>
  <c r="D202" i="3"/>
  <c r="D87" i="7" s="1"/>
  <c r="E201" i="3"/>
  <c r="E86" i="7" s="1"/>
  <c r="D201" i="3"/>
  <c r="D86" i="7" s="1"/>
  <c r="E200" i="3"/>
  <c r="E85" i="7"/>
  <c r="D200" i="3"/>
  <c r="D85" i="7" s="1"/>
  <c r="E198" i="3"/>
  <c r="E83" i="7" s="1"/>
  <c r="D198" i="3"/>
  <c r="D83" i="7"/>
  <c r="E197" i="3"/>
  <c r="E82" i="7"/>
  <c r="D197" i="3"/>
  <c r="D82" i="7" s="1"/>
  <c r="E196" i="3"/>
  <c r="E81" i="7"/>
  <c r="D196" i="3"/>
  <c r="D81" i="7" s="1"/>
  <c r="E195" i="3"/>
  <c r="E80" i="7" s="1"/>
  <c r="D195" i="3"/>
  <c r="D80" i="7" s="1"/>
  <c r="E194" i="3"/>
  <c r="E79" i="7" s="1"/>
  <c r="D194" i="3"/>
  <c r="D79" i="7" s="1"/>
  <c r="E193" i="3"/>
  <c r="E78" i="7"/>
  <c r="D193" i="3"/>
  <c r="D78" i="7" s="1"/>
  <c r="E192" i="3"/>
  <c r="E77" i="7"/>
  <c r="D192" i="3"/>
  <c r="D77" i="7"/>
  <c r="E191" i="3"/>
  <c r="E76" i="7" s="1"/>
  <c r="D191" i="3"/>
  <c r="D76" i="7" s="1"/>
  <c r="E190" i="3"/>
  <c r="E75" i="7"/>
  <c r="D190" i="3"/>
  <c r="D75" i="7" s="1"/>
  <c r="E189" i="3"/>
  <c r="E74" i="7" s="1"/>
  <c r="D189" i="3"/>
  <c r="D74" i="7" s="1"/>
  <c r="E188" i="3"/>
  <c r="E73" i="7" s="1"/>
  <c r="D188" i="3"/>
  <c r="D73" i="7"/>
  <c r="E187" i="3"/>
  <c r="E72" i="7"/>
  <c r="D187" i="3"/>
  <c r="D72" i="7" s="1"/>
  <c r="E186" i="3"/>
  <c r="E71" i="7"/>
  <c r="D186" i="3"/>
  <c r="D71" i="7"/>
  <c r="E185" i="3"/>
  <c r="E70" i="7" s="1"/>
  <c r="D185" i="3"/>
  <c r="D70" i="7" s="1"/>
  <c r="D183" i="3"/>
  <c r="D68" i="7" s="1"/>
  <c r="D182" i="3"/>
  <c r="D67" i="7" s="1"/>
  <c r="D181" i="3"/>
  <c r="D66" i="7"/>
  <c r="E180" i="3"/>
  <c r="E65" i="7" s="1"/>
  <c r="D180" i="3"/>
  <c r="D65" i="7" s="1"/>
  <c r="E179" i="3"/>
  <c r="E64" i="7"/>
  <c r="D179" i="3"/>
  <c r="D64" i="7"/>
  <c r="E178" i="3"/>
  <c r="E63" i="7" s="1"/>
  <c r="D178" i="3"/>
  <c r="D63" i="7"/>
  <c r="E177" i="3"/>
  <c r="E62" i="7" s="1"/>
  <c r="D177" i="3"/>
  <c r="D62" i="7" s="1"/>
  <c r="E176" i="3"/>
  <c r="E61" i="7" s="1"/>
  <c r="D176" i="3"/>
  <c r="D61" i="7" s="1"/>
  <c r="E174" i="3"/>
  <c r="E59" i="7" s="1"/>
  <c r="D174" i="3"/>
  <c r="D59" i="7"/>
  <c r="E173" i="3"/>
  <c r="E58" i="7" s="1"/>
  <c r="D173" i="3"/>
  <c r="D58" i="7"/>
  <c r="E172" i="3"/>
  <c r="E57" i="7"/>
  <c r="D172" i="3"/>
  <c r="D57" i="7" s="1"/>
  <c r="E171" i="3"/>
  <c r="E56" i="7" s="1"/>
  <c r="D171" i="3"/>
  <c r="D56" i="7"/>
  <c r="E170" i="3"/>
  <c r="E55" i="7" s="1"/>
  <c r="D170" i="3"/>
  <c r="D55" i="7" s="1"/>
  <c r="E169" i="3"/>
  <c r="E54" i="7" s="1"/>
  <c r="D169" i="3"/>
  <c r="D54" i="7" s="1"/>
  <c r="E168" i="3"/>
  <c r="E53" i="7"/>
  <c r="D168" i="3"/>
  <c r="D53" i="7"/>
  <c r="E167" i="3"/>
  <c r="E52" i="7" s="1"/>
  <c r="D167" i="3"/>
  <c r="D52" i="7"/>
  <c r="E166" i="3"/>
  <c r="E51" i="7"/>
  <c r="D166" i="3"/>
  <c r="D51" i="7" s="1"/>
  <c r="E165" i="3"/>
  <c r="E50" i="7" s="1"/>
  <c r="D165" i="3"/>
  <c r="D50" i="7" s="1"/>
  <c r="E164" i="3"/>
  <c r="E49" i="7" s="1"/>
  <c r="D164" i="3"/>
  <c r="D49" i="7"/>
  <c r="E163" i="3"/>
  <c r="E48" i="7" s="1"/>
  <c r="D163" i="3"/>
  <c r="D48" i="7" s="1"/>
  <c r="E161" i="3"/>
  <c r="E46" i="7"/>
  <c r="D161" i="3"/>
  <c r="D46" i="7"/>
  <c r="E160" i="3"/>
  <c r="E45" i="7" s="1"/>
  <c r="D160" i="3"/>
  <c r="D45" i="7"/>
  <c r="E159" i="3"/>
  <c r="E44" i="7" s="1"/>
  <c r="D159" i="3"/>
  <c r="D44" i="7" s="1"/>
  <c r="E158" i="3"/>
  <c r="E43" i="7" s="1"/>
  <c r="D158" i="3"/>
  <c r="D43" i="7" s="1"/>
  <c r="E157" i="3"/>
  <c r="E42" i="7" s="1"/>
  <c r="D157" i="3"/>
  <c r="D42" i="7"/>
  <c r="E156" i="3"/>
  <c r="E41" i="7" s="1"/>
  <c r="D156" i="3"/>
  <c r="D41" i="7"/>
  <c r="E155" i="3"/>
  <c r="E40" i="7"/>
  <c r="D155" i="3"/>
  <c r="D40" i="7" s="1"/>
  <c r="E154" i="3"/>
  <c r="E39" i="7" s="1"/>
  <c r="D154" i="3"/>
  <c r="D39" i="7"/>
  <c r="E153" i="3"/>
  <c r="E38" i="7" s="1"/>
  <c r="D153" i="3"/>
  <c r="D38" i="7" s="1"/>
  <c r="E152" i="3"/>
  <c r="E37" i="7" s="1"/>
  <c r="D152" i="3"/>
  <c r="D37" i="7" s="1"/>
  <c r="E151" i="3"/>
  <c r="E36" i="7"/>
  <c r="D151" i="3"/>
  <c r="D36" i="7"/>
  <c r="E150" i="3"/>
  <c r="E35" i="7" s="1"/>
  <c r="D150" i="3"/>
  <c r="D35" i="7"/>
  <c r="E148" i="3"/>
  <c r="E33" i="7"/>
  <c r="D148" i="3"/>
  <c r="D33" i="7" s="1"/>
  <c r="E147" i="3"/>
  <c r="E32" i="7" s="1"/>
  <c r="D147" i="3"/>
  <c r="D32" i="7" s="1"/>
  <c r="E146" i="3"/>
  <c r="E31" i="7" s="1"/>
  <c r="E145" i="3"/>
  <c r="E30" i="7"/>
  <c r="D145" i="3"/>
  <c r="D30" i="7" s="1"/>
  <c r="E144" i="3"/>
  <c r="E29" i="7" s="1"/>
  <c r="D144" i="3"/>
  <c r="D29" i="7"/>
  <c r="E143" i="3"/>
  <c r="E28" i="7"/>
  <c r="D143" i="3"/>
  <c r="D28" i="7" s="1"/>
  <c r="E142" i="3"/>
  <c r="E27" i="7"/>
  <c r="D142" i="3"/>
  <c r="D27" i="7" s="1"/>
  <c r="E141" i="3"/>
  <c r="E26" i="7" s="1"/>
  <c r="D141" i="3"/>
  <c r="D26" i="7" s="1"/>
  <c r="E140" i="3"/>
  <c r="E25" i="7" s="1"/>
  <c r="D140" i="3"/>
  <c r="D25" i="7" s="1"/>
  <c r="E139" i="3"/>
  <c r="E24" i="7"/>
  <c r="D139" i="3"/>
  <c r="D24" i="7" s="1"/>
  <c r="E138" i="3"/>
  <c r="E23" i="7"/>
  <c r="D138" i="3"/>
  <c r="D23" i="7"/>
  <c r="E137" i="3"/>
  <c r="E22" i="7" s="1"/>
  <c r="E136" i="3"/>
  <c r="E21" i="7" s="1"/>
  <c r="D136" i="3"/>
  <c r="D21" i="7"/>
  <c r="D137" i="3"/>
  <c r="D22" i="7" s="1"/>
  <c r="D135" i="3"/>
  <c r="D20" i="7" s="1"/>
  <c r="E133" i="3"/>
  <c r="E18" i="7" s="1"/>
  <c r="D133" i="3"/>
  <c r="D18" i="7" s="1"/>
  <c r="E132" i="3"/>
  <c r="E17" i="7"/>
  <c r="D132" i="3"/>
  <c r="D17" i="7"/>
  <c r="E131" i="3"/>
  <c r="E16" i="7" s="1"/>
  <c r="D131" i="3"/>
  <c r="D16" i="7"/>
  <c r="D130" i="3"/>
  <c r="D15" i="7"/>
  <c r="E130" i="3"/>
  <c r="E15" i="7" s="1"/>
  <c r="E129" i="3"/>
  <c r="E14" i="7" s="1"/>
  <c r="D129" i="3"/>
  <c r="D14" i="7" s="1"/>
  <c r="E128" i="3"/>
  <c r="E13" i="7" s="1"/>
  <c r="D128" i="3"/>
  <c r="D13" i="7"/>
  <c r="E127" i="3"/>
  <c r="E12" i="7" s="1"/>
  <c r="D127" i="3"/>
  <c r="D12" i="7" s="1"/>
  <c r="E126" i="3"/>
  <c r="E11" i="7"/>
  <c r="D126" i="3"/>
  <c r="D11" i="7"/>
  <c r="E125" i="3"/>
  <c r="E10" i="7" s="1"/>
  <c r="D125" i="3"/>
  <c r="D10" i="7"/>
  <c r="E124" i="3"/>
  <c r="E9" i="7" s="1"/>
  <c r="D124" i="3"/>
  <c r="D9" i="7" s="1"/>
  <c r="E122" i="3"/>
  <c r="E7" i="7" s="1"/>
  <c r="D122" i="3"/>
  <c r="D7" i="7" s="1"/>
  <c r="E121" i="3"/>
  <c r="E6" i="7" s="1"/>
  <c r="D121" i="3"/>
  <c r="D6" i="7"/>
  <c r="E120" i="3"/>
  <c r="E5" i="7" s="1"/>
  <c r="D120" i="3"/>
  <c r="D5" i="7"/>
  <c r="E119" i="3"/>
  <c r="E4" i="7"/>
  <c r="D119" i="3"/>
  <c r="D4" i="7" s="1"/>
  <c r="E117" i="3"/>
  <c r="E16" i="9" s="1"/>
  <c r="D117" i="3"/>
  <c r="D16" i="9"/>
  <c r="E116" i="3"/>
  <c r="E15" i="9" s="1"/>
  <c r="D116" i="3"/>
  <c r="D15" i="9" s="1"/>
  <c r="E115" i="3"/>
  <c r="E14" i="9" s="1"/>
  <c r="D115" i="3"/>
  <c r="D14" i="9" s="1"/>
  <c r="E114" i="3"/>
  <c r="E13" i="9"/>
  <c r="D114" i="3"/>
  <c r="D13" i="9"/>
  <c r="E113" i="3"/>
  <c r="E12" i="9" s="1"/>
  <c r="D113" i="3"/>
  <c r="D12" i="9"/>
  <c r="E112" i="3"/>
  <c r="E11" i="9"/>
  <c r="D112" i="3"/>
  <c r="D11" i="9" s="1"/>
  <c r="E111" i="3"/>
  <c r="E10" i="9" s="1"/>
  <c r="D111" i="3"/>
  <c r="D10" i="9" s="1"/>
  <c r="E110" i="3"/>
  <c r="E9" i="9" s="1"/>
  <c r="D110" i="3"/>
  <c r="D9" i="9"/>
  <c r="E109" i="3"/>
  <c r="E8" i="9" s="1"/>
  <c r="D109" i="3"/>
  <c r="D8" i="9" s="1"/>
  <c r="E108" i="3"/>
  <c r="E7" i="9"/>
  <c r="D108" i="3"/>
  <c r="D7" i="9"/>
  <c r="E107" i="3"/>
  <c r="E6" i="9" s="1"/>
  <c r="D107" i="3"/>
  <c r="D6" i="9"/>
  <c r="E106" i="3"/>
  <c r="E5" i="9" s="1"/>
  <c r="D106" i="3"/>
  <c r="D5" i="9" s="1"/>
  <c r="E105" i="3"/>
  <c r="E4" i="9" s="1"/>
  <c r="D105" i="3"/>
  <c r="D4" i="9" s="1"/>
  <c r="E103" i="3"/>
  <c r="E19" i="8" s="1"/>
  <c r="D103" i="3"/>
  <c r="D19" i="8"/>
  <c r="E102" i="3"/>
  <c r="E18" i="8" s="1"/>
  <c r="D102" i="3"/>
  <c r="D18" i="8"/>
  <c r="E101" i="3"/>
  <c r="E17" i="8"/>
  <c r="D101" i="3"/>
  <c r="D17" i="8" s="1"/>
  <c r="E100" i="3"/>
  <c r="E16" i="8" s="1"/>
  <c r="D100" i="3"/>
  <c r="D16" i="8"/>
  <c r="E99" i="3"/>
  <c r="E15" i="8" s="1"/>
  <c r="D99" i="3"/>
  <c r="D15" i="8" s="1"/>
  <c r="E98" i="3"/>
  <c r="E14" i="8" s="1"/>
  <c r="D98" i="3"/>
  <c r="D14" i="8" s="1"/>
  <c r="E97" i="3"/>
  <c r="E13" i="8"/>
  <c r="D97" i="3"/>
  <c r="D13" i="8"/>
  <c r="E96" i="3"/>
  <c r="E12" i="8" s="1"/>
  <c r="D96" i="3"/>
  <c r="D12" i="8"/>
  <c r="E95" i="3"/>
  <c r="E11" i="8"/>
  <c r="D95" i="3"/>
  <c r="D11" i="8" s="1"/>
  <c r="E94" i="3"/>
  <c r="E10" i="8" s="1"/>
  <c r="D94" i="3"/>
  <c r="D10" i="8" s="1"/>
  <c r="E93" i="3"/>
  <c r="E9" i="8" s="1"/>
  <c r="D93" i="3"/>
  <c r="D9" i="8"/>
  <c r="E92" i="3"/>
  <c r="E8" i="8" s="1"/>
  <c r="D92" i="3"/>
  <c r="D8" i="8" s="1"/>
  <c r="E91" i="3"/>
  <c r="E7" i="8"/>
  <c r="D91" i="3"/>
  <c r="D7" i="8"/>
  <c r="E90" i="3"/>
  <c r="E6" i="8" s="1"/>
  <c r="D90" i="3"/>
  <c r="D6" i="8"/>
  <c r="E89" i="3"/>
  <c r="E5" i="8" s="1"/>
  <c r="D89" i="3"/>
  <c r="D5" i="8" s="1"/>
  <c r="E88" i="3"/>
  <c r="E4" i="8" s="1"/>
  <c r="D88" i="3"/>
  <c r="D4" i="8" s="1"/>
  <c r="E86" i="3"/>
  <c r="E77" i="6" s="1"/>
  <c r="D86" i="3"/>
  <c r="D77" i="6"/>
  <c r="E85" i="3"/>
  <c r="E76" i="6" s="1"/>
  <c r="D85" i="3"/>
  <c r="D76" i="6"/>
  <c r="E84" i="3"/>
  <c r="E75" i="6"/>
  <c r="D84" i="3"/>
  <c r="D75" i="6" s="1"/>
  <c r="E83" i="3"/>
  <c r="E74" i="6" s="1"/>
  <c r="D83" i="3"/>
  <c r="D74" i="6"/>
  <c r="E82" i="3"/>
  <c r="E73" i="6" s="1"/>
  <c r="D82" i="3"/>
  <c r="D73" i="6" s="1"/>
  <c r="E81" i="3"/>
  <c r="E72" i="6" s="1"/>
  <c r="D81" i="3"/>
  <c r="D72" i="6" s="1"/>
  <c r="E80" i="3"/>
  <c r="E71" i="6"/>
  <c r="D80" i="3"/>
  <c r="D71" i="6"/>
  <c r="E78" i="3"/>
  <c r="E83" i="6" s="1"/>
  <c r="D78" i="3"/>
  <c r="D83" i="6"/>
  <c r="E77" i="3"/>
  <c r="E82" i="6"/>
  <c r="D77" i="3"/>
  <c r="D82" i="6" s="1"/>
  <c r="E76" i="3"/>
  <c r="E81" i="6" s="1"/>
  <c r="D76" i="3"/>
  <c r="D81" i="6" s="1"/>
  <c r="E75" i="3"/>
  <c r="E80" i="6" s="1"/>
  <c r="D75" i="3"/>
  <c r="D80" i="6"/>
  <c r="E74" i="3"/>
  <c r="E79" i="6" s="1"/>
  <c r="D74" i="3"/>
  <c r="D79" i="6" s="1"/>
  <c r="E72" i="3"/>
  <c r="E69" i="6"/>
  <c r="D72" i="3"/>
  <c r="D69" i="6"/>
  <c r="E71" i="3"/>
  <c r="E68" i="6" s="1"/>
  <c r="D71" i="3"/>
  <c r="D68" i="6"/>
  <c r="E70" i="3"/>
  <c r="E67" i="6" s="1"/>
  <c r="D70" i="3"/>
  <c r="D67" i="6" s="1"/>
  <c r="E69" i="3"/>
  <c r="E66" i="6" s="1"/>
  <c r="D69" i="3"/>
  <c r="D66" i="6" s="1"/>
  <c r="E68" i="3"/>
  <c r="E65" i="6" s="1"/>
  <c r="D68" i="3"/>
  <c r="D65" i="6"/>
  <c r="E67" i="3"/>
  <c r="E64" i="6" s="1"/>
  <c r="D67" i="3"/>
  <c r="D64" i="6"/>
  <c r="E66" i="3"/>
  <c r="E63" i="6"/>
  <c r="D66" i="3"/>
  <c r="D63" i="6" s="1"/>
  <c r="E65" i="3"/>
  <c r="E62" i="6" s="1"/>
  <c r="D65" i="3"/>
  <c r="D62" i="6"/>
  <c r="E64" i="3"/>
  <c r="E61" i="6" s="1"/>
  <c r="D64" i="3"/>
  <c r="D61" i="6" s="1"/>
  <c r="E63" i="3"/>
  <c r="E60" i="6" s="1"/>
  <c r="D63" i="3"/>
  <c r="D60" i="6" s="1"/>
  <c r="E62" i="3"/>
  <c r="E59" i="6"/>
  <c r="D62" i="3"/>
  <c r="D59" i="6"/>
  <c r="E61" i="3"/>
  <c r="E58" i="6" s="1"/>
  <c r="D61" i="3"/>
  <c r="D58" i="6"/>
  <c r="E60" i="3"/>
  <c r="E57" i="6"/>
  <c r="D60" i="3"/>
  <c r="D57" i="6" s="1"/>
  <c r="E59" i="3"/>
  <c r="E56" i="6" s="1"/>
  <c r="D59" i="3"/>
  <c r="D56" i="6" s="1"/>
  <c r="E57" i="3"/>
  <c r="E54" i="6" s="1"/>
  <c r="D57" i="3"/>
  <c r="D54" i="6"/>
  <c r="E56" i="3"/>
  <c r="E53" i="6" s="1"/>
  <c r="D56" i="3"/>
  <c r="D53" i="6" s="1"/>
  <c r="E55" i="3"/>
  <c r="E52" i="6"/>
  <c r="D55" i="3"/>
  <c r="D52" i="6"/>
  <c r="E54" i="3"/>
  <c r="E51" i="6" s="1"/>
  <c r="D54" i="3"/>
  <c r="D51" i="6"/>
  <c r="E53" i="3"/>
  <c r="E50" i="6" s="1"/>
  <c r="D53" i="3"/>
  <c r="D50" i="6" s="1"/>
  <c r="E52" i="3"/>
  <c r="E49" i="6" s="1"/>
  <c r="D52" i="3"/>
  <c r="D49" i="6" s="1"/>
  <c r="E51" i="3"/>
  <c r="E48" i="6" s="1"/>
  <c r="D51" i="3"/>
  <c r="D48" i="6"/>
  <c r="E50" i="3"/>
  <c r="E47" i="6" s="1"/>
  <c r="D50" i="3"/>
  <c r="D47" i="6"/>
  <c r="E49" i="3"/>
  <c r="E46" i="6"/>
  <c r="D49" i="3"/>
  <c r="D46" i="6" s="1"/>
  <c r="E48" i="3"/>
  <c r="E45" i="6" s="1"/>
  <c r="D48" i="3"/>
  <c r="D45" i="6"/>
  <c r="E47" i="3"/>
  <c r="E44" i="6" s="1"/>
  <c r="D47" i="3"/>
  <c r="D44" i="6" s="1"/>
  <c r="E45" i="3"/>
  <c r="E42" i="6" s="1"/>
  <c r="D45" i="3"/>
  <c r="D42" i="6" s="1"/>
  <c r="E44" i="3"/>
  <c r="E41" i="6"/>
  <c r="D44" i="3"/>
  <c r="D41" i="6"/>
  <c r="E43" i="3"/>
  <c r="E40" i="6" s="1"/>
  <c r="D43" i="3"/>
  <c r="D40" i="6"/>
  <c r="E42" i="3"/>
  <c r="E39" i="6"/>
  <c r="D42" i="3"/>
  <c r="D39" i="6" s="1"/>
  <c r="E41" i="3"/>
  <c r="E38" i="6" s="1"/>
  <c r="D41" i="3"/>
  <c r="D38" i="6" s="1"/>
  <c r="E40" i="3"/>
  <c r="E37" i="6" s="1"/>
  <c r="D40" i="3"/>
  <c r="D37" i="6"/>
  <c r="E39" i="3"/>
  <c r="E36" i="6" s="1"/>
  <c r="D39" i="3"/>
  <c r="D36" i="6" s="1"/>
  <c r="E38" i="3"/>
  <c r="E35" i="6"/>
  <c r="D38" i="3"/>
  <c r="D35" i="6"/>
  <c r="E37" i="3"/>
  <c r="E34" i="6" s="1"/>
  <c r="D37" i="3"/>
  <c r="D34" i="6"/>
  <c r="E36" i="3"/>
  <c r="E33" i="6" s="1"/>
  <c r="D36" i="3"/>
  <c r="D33" i="6" s="1"/>
  <c r="E35" i="3"/>
  <c r="E32" i="6" s="1"/>
  <c r="D35" i="3"/>
  <c r="D32" i="6" s="1"/>
  <c r="E32" i="3"/>
  <c r="E30" i="6" s="1"/>
  <c r="E31" i="3"/>
  <c r="E29" i="6"/>
  <c r="E30" i="3"/>
  <c r="E28" i="6" s="1"/>
  <c r="E29" i="3"/>
  <c r="E27" i="6"/>
  <c r="E28" i="3"/>
  <c r="E26" i="6"/>
  <c r="D32" i="3"/>
  <c r="D30" i="6" s="1"/>
  <c r="D31" i="3"/>
  <c r="D29" i="6" s="1"/>
  <c r="D30" i="3"/>
  <c r="D28" i="6"/>
  <c r="D29" i="3"/>
  <c r="D27" i="6" s="1"/>
  <c r="D28" i="3"/>
  <c r="D26" i="6" s="1"/>
  <c r="D25" i="3"/>
  <c r="D23" i="6" s="1"/>
  <c r="D24" i="3"/>
  <c r="D22" i="6" s="1"/>
  <c r="E15" i="3"/>
  <c r="E13" i="6"/>
  <c r="D15" i="3"/>
  <c r="D13" i="6"/>
  <c r="D13" i="3"/>
  <c r="D11" i="6" s="1"/>
  <c r="D12" i="3"/>
  <c r="D10" i="6"/>
  <c r="D11" i="3"/>
  <c r="D9" i="6"/>
  <c r="E10" i="3"/>
  <c r="E8" i="6" s="1"/>
  <c r="D10" i="3"/>
  <c r="D8" i="6" s="1"/>
  <c r="E9" i="3"/>
  <c r="E7" i="6" s="1"/>
  <c r="D9" i="3"/>
  <c r="D7" i="6" s="1"/>
  <c r="E8" i="3"/>
  <c r="E6" i="6"/>
  <c r="D8" i="3"/>
  <c r="D6" i="6" s="1"/>
  <c r="E7" i="3"/>
  <c r="E5" i="6" s="1"/>
  <c r="D7" i="3"/>
  <c r="D5" i="6"/>
  <c r="E6" i="3"/>
  <c r="E4" i="6"/>
  <c r="D6" i="3"/>
  <c r="D4" i="6" s="1"/>
  <c r="J161" i="3"/>
  <c r="J46" i="7"/>
  <c r="J160" i="3"/>
  <c r="J45" i="7" s="1"/>
  <c r="J159" i="3"/>
  <c r="J44" i="7" s="1"/>
  <c r="J158" i="3"/>
  <c r="J43" i="7" s="1"/>
  <c r="J157" i="3"/>
  <c r="J42" i="7" s="1"/>
  <c r="J156" i="3"/>
  <c r="J41" i="7" s="1"/>
  <c r="J155" i="3"/>
  <c r="J40" i="7"/>
  <c r="H300" i="2"/>
  <c r="I300" i="2"/>
  <c r="J300" i="2"/>
  <c r="J301" i="2" s="1"/>
  <c r="K300" i="2"/>
  <c r="K301" i="2" s="1"/>
  <c r="L300" i="2"/>
  <c r="L301" i="2" s="1"/>
  <c r="M300" i="2"/>
  <c r="M301" i="2" s="1"/>
  <c r="N300" i="2"/>
  <c r="O300" i="2"/>
  <c r="O301" i="2" s="1"/>
  <c r="P300" i="2"/>
  <c r="P301" i="2" s="1"/>
  <c r="Q300" i="2"/>
  <c r="R300" i="2"/>
  <c r="R301" i="2" s="1"/>
  <c r="S300" i="2"/>
  <c r="S301" i="2" s="1"/>
  <c r="T300" i="2"/>
  <c r="T301" i="2" s="1"/>
  <c r="U300" i="2"/>
  <c r="U301" i="2" s="1"/>
  <c r="K154" i="3" s="1"/>
  <c r="K39" i="7" s="1"/>
  <c r="V300" i="2"/>
  <c r="V301" i="2"/>
  <c r="W300" i="2"/>
  <c r="W301" i="2" s="1"/>
  <c r="X300" i="2"/>
  <c r="Y300" i="2"/>
  <c r="Y301" i="2" s="1"/>
  <c r="Z300" i="2"/>
  <c r="Z301" i="2" s="1"/>
  <c r="AA300" i="2"/>
  <c r="H301" i="2"/>
  <c r="I301" i="2"/>
  <c r="N301" i="2"/>
  <c r="Q301" i="2"/>
  <c r="X301" i="2"/>
  <c r="AA301" i="2"/>
  <c r="G300" i="2"/>
  <c r="G301" i="2" s="1"/>
  <c r="F62" i="2"/>
  <c r="H23" i="3"/>
  <c r="H21" i="6" s="1"/>
  <c r="F60" i="2"/>
  <c r="H22" i="3" s="1"/>
  <c r="H20" i="6" s="1"/>
  <c r="F58" i="2"/>
  <c r="F59" i="2" s="1"/>
  <c r="I21" i="3" s="1"/>
  <c r="I19" i="6" s="1"/>
  <c r="F56" i="2"/>
  <c r="H20" i="3" s="1"/>
  <c r="H18" i="6" s="1"/>
  <c r="F54" i="2"/>
  <c r="F52" i="2"/>
  <c r="H18" i="3"/>
  <c r="H16" i="6" s="1"/>
  <c r="F50" i="2"/>
  <c r="H17" i="3"/>
  <c r="H15" i="6" s="1"/>
  <c r="F48" i="2"/>
  <c r="H16" i="3"/>
  <c r="H14" i="6" s="1"/>
  <c r="E62" i="2"/>
  <c r="F23" i="3" s="1"/>
  <c r="F21" i="6" s="1"/>
  <c r="E60" i="2"/>
  <c r="E61" i="2" s="1"/>
  <c r="G22" i="3" s="1"/>
  <c r="G20" i="6" s="1"/>
  <c r="E58" i="2"/>
  <c r="E56" i="2"/>
  <c r="F20" i="3" s="1"/>
  <c r="F18" i="6" s="1"/>
  <c r="E54" i="2"/>
  <c r="F19" i="3" s="1"/>
  <c r="F17" i="6" s="1"/>
  <c r="E52" i="2"/>
  <c r="F18" i="3" s="1"/>
  <c r="F16" i="6" s="1"/>
  <c r="E50" i="2"/>
  <c r="F17" i="3" s="1"/>
  <c r="F15" i="6" s="1"/>
  <c r="E48" i="2"/>
  <c r="F16" i="3" s="1"/>
  <c r="F14" i="6" s="1"/>
  <c r="D62" i="2"/>
  <c r="D23" i="3" s="1"/>
  <c r="D21" i="6" s="1"/>
  <c r="D60" i="2"/>
  <c r="D22" i="3" s="1"/>
  <c r="D20" i="6" s="1"/>
  <c r="D58" i="2"/>
  <c r="D59" i="2" s="1"/>
  <c r="E21" i="3" s="1"/>
  <c r="E19" i="6" s="1"/>
  <c r="D56" i="2"/>
  <c r="D20" i="3" s="1"/>
  <c r="D18" i="6" s="1"/>
  <c r="D54" i="2"/>
  <c r="D19" i="3" s="1"/>
  <c r="D17" i="6" s="1"/>
  <c r="D52" i="2"/>
  <c r="D18" i="3" s="1"/>
  <c r="D16" i="6" s="1"/>
  <c r="D50" i="2"/>
  <c r="D48" i="2"/>
  <c r="D16" i="3"/>
  <c r="D14" i="6" s="1"/>
  <c r="F47" i="2"/>
  <c r="F49" i="2" s="1"/>
  <c r="I16" i="3" s="1"/>
  <c r="I14" i="6" s="1"/>
  <c r="E47" i="2"/>
  <c r="D47" i="2"/>
  <c r="J288" i="3"/>
  <c r="J98" i="9"/>
  <c r="J287" i="3"/>
  <c r="J97" i="9" s="1"/>
  <c r="J286" i="3"/>
  <c r="J96" i="9"/>
  <c r="J285" i="3"/>
  <c r="J95" i="9" s="1"/>
  <c r="J284" i="3"/>
  <c r="J94" i="9" s="1"/>
  <c r="J283" i="3"/>
  <c r="J93" i="9" s="1"/>
  <c r="J282" i="3"/>
  <c r="J92" i="9" s="1"/>
  <c r="J281" i="3"/>
  <c r="J91" i="9" s="1"/>
  <c r="J279" i="3"/>
  <c r="J89" i="9"/>
  <c r="J278" i="3"/>
  <c r="J88" i="9" s="1"/>
  <c r="J277" i="3"/>
  <c r="J87" i="9" s="1"/>
  <c r="J276" i="3"/>
  <c r="J86" i="9"/>
  <c r="J275" i="3"/>
  <c r="J85" i="9" s="1"/>
  <c r="J274" i="3"/>
  <c r="J84" i="9" s="1"/>
  <c r="J273" i="3"/>
  <c r="J83" i="9"/>
  <c r="J272" i="3"/>
  <c r="J82" i="9" s="1"/>
  <c r="J271" i="3"/>
  <c r="J81" i="9" s="1"/>
  <c r="J270" i="3"/>
  <c r="J80" i="9" s="1"/>
  <c r="J268" i="3"/>
  <c r="J78" i="9" s="1"/>
  <c r="J267" i="3"/>
  <c r="J77" i="9" s="1"/>
  <c r="J266" i="3"/>
  <c r="J76" i="9"/>
  <c r="J265" i="3"/>
  <c r="J75" i="9" s="1"/>
  <c r="J264" i="3"/>
  <c r="J74" i="9"/>
  <c r="J263" i="3"/>
  <c r="J73" i="9"/>
  <c r="J262" i="3"/>
  <c r="J72" i="9" s="1"/>
  <c r="J261" i="3"/>
  <c r="J71" i="9" s="1"/>
  <c r="J260" i="3"/>
  <c r="J70" i="9" s="1"/>
  <c r="J259" i="3"/>
  <c r="J69" i="9" s="1"/>
  <c r="J258" i="3"/>
  <c r="J68" i="9" s="1"/>
  <c r="J257" i="3"/>
  <c r="J67" i="9" s="1"/>
  <c r="J256" i="3"/>
  <c r="J66" i="9" s="1"/>
  <c r="J255" i="3"/>
  <c r="J65" i="9"/>
  <c r="J254" i="3"/>
  <c r="J64" i="9"/>
  <c r="J253" i="3"/>
  <c r="J63" i="9" s="1"/>
  <c r="J251" i="3"/>
  <c r="J61" i="9"/>
  <c r="J250" i="3"/>
  <c r="J60" i="9" s="1"/>
  <c r="J249" i="3"/>
  <c r="J59" i="9" s="1"/>
  <c r="J248" i="3"/>
  <c r="J58" i="9" s="1"/>
  <c r="J247" i="3"/>
  <c r="J57" i="9" s="1"/>
  <c r="J246" i="3"/>
  <c r="J56" i="9" s="1"/>
  <c r="J245" i="3"/>
  <c r="J55" i="9"/>
  <c r="J244" i="3"/>
  <c r="J54" i="9" s="1"/>
  <c r="J243" i="3"/>
  <c r="J53" i="9" s="1"/>
  <c r="J242" i="3"/>
  <c r="J52" i="9"/>
  <c r="J241" i="3"/>
  <c r="J51" i="9" s="1"/>
  <c r="J240" i="3"/>
  <c r="J50" i="9" s="1"/>
  <c r="J239" i="3"/>
  <c r="J49" i="9"/>
  <c r="J238" i="3"/>
  <c r="J48" i="9" s="1"/>
  <c r="J237" i="3"/>
  <c r="J47" i="9" s="1"/>
  <c r="J236" i="3"/>
  <c r="J46" i="9" s="1"/>
  <c r="J235" i="3"/>
  <c r="J45" i="9" s="1"/>
  <c r="J234" i="3"/>
  <c r="J44" i="9" s="1"/>
  <c r="J233" i="3"/>
  <c r="J43" i="9"/>
  <c r="J231" i="3"/>
  <c r="J41" i="9" s="1"/>
  <c r="J230" i="3"/>
  <c r="J40" i="9"/>
  <c r="J229" i="3"/>
  <c r="J39" i="9"/>
  <c r="J228" i="3"/>
  <c r="J38" i="9" s="1"/>
  <c r="J227" i="3"/>
  <c r="J37" i="9" s="1"/>
  <c r="J225" i="3"/>
  <c r="J35" i="9" s="1"/>
  <c r="J224" i="3"/>
  <c r="J34" i="9" s="1"/>
  <c r="J223" i="3"/>
  <c r="J33" i="9" s="1"/>
  <c r="J222" i="3"/>
  <c r="J32" i="9" s="1"/>
  <c r="J221" i="3"/>
  <c r="J31" i="9" s="1"/>
  <c r="J220" i="3"/>
  <c r="J30" i="9"/>
  <c r="J219" i="3"/>
  <c r="J29" i="9"/>
  <c r="J218" i="3"/>
  <c r="J28" i="9" s="1"/>
  <c r="J217" i="3"/>
  <c r="J27" i="9"/>
  <c r="J216" i="3"/>
  <c r="J26" i="9" s="1"/>
  <c r="J215" i="3"/>
  <c r="J25" i="9" s="1"/>
  <c r="J214" i="3"/>
  <c r="J24" i="9" s="1"/>
  <c r="J213" i="3"/>
  <c r="J23" i="9" s="1"/>
  <c r="J212" i="3"/>
  <c r="J22" i="9" s="1"/>
  <c r="J211" i="3"/>
  <c r="J21" i="9" s="1"/>
  <c r="J210" i="3"/>
  <c r="J20" i="9" s="1"/>
  <c r="J209" i="3"/>
  <c r="J19" i="9"/>
  <c r="J208" i="3"/>
  <c r="J18" i="9" s="1"/>
  <c r="J205" i="3"/>
  <c r="J90" i="7"/>
  <c r="J204" i="3"/>
  <c r="J89" i="7" s="1"/>
  <c r="J203" i="3"/>
  <c r="J88" i="7"/>
  <c r="J202" i="3"/>
  <c r="J87" i="7" s="1"/>
  <c r="J201" i="3"/>
  <c r="J86" i="7" s="1"/>
  <c r="J200" i="3"/>
  <c r="J85" i="7" s="1"/>
  <c r="J198" i="3"/>
  <c r="J83" i="7" s="1"/>
  <c r="J197" i="3"/>
  <c r="J82" i="7" s="1"/>
  <c r="J196" i="3"/>
  <c r="J81" i="7" s="1"/>
  <c r="J195" i="3"/>
  <c r="J80" i="7" s="1"/>
  <c r="J194" i="3"/>
  <c r="J79" i="7" s="1"/>
  <c r="J193" i="3"/>
  <c r="J78" i="7" s="1"/>
  <c r="J192" i="3"/>
  <c r="J77" i="7" s="1"/>
  <c r="J191" i="3"/>
  <c r="J76" i="7" s="1"/>
  <c r="J190" i="3"/>
  <c r="J75" i="7"/>
  <c r="J189" i="3"/>
  <c r="J74" i="7" s="1"/>
  <c r="J188" i="3"/>
  <c r="J73" i="7"/>
  <c r="J187" i="3"/>
  <c r="J72" i="7" s="1"/>
  <c r="J186" i="3"/>
  <c r="J71" i="7"/>
  <c r="J185" i="3"/>
  <c r="J70" i="7" s="1"/>
  <c r="J183" i="3"/>
  <c r="J68" i="7" s="1"/>
  <c r="J182" i="3"/>
  <c r="J67" i="7" s="1"/>
  <c r="J181" i="3"/>
  <c r="J66" i="7" s="1"/>
  <c r="J180" i="3"/>
  <c r="J65" i="7" s="1"/>
  <c r="J179" i="3"/>
  <c r="J64" i="7" s="1"/>
  <c r="J178" i="3"/>
  <c r="J63" i="7" s="1"/>
  <c r="J177" i="3"/>
  <c r="J62" i="7" s="1"/>
  <c r="J176" i="3"/>
  <c r="J61" i="7" s="1"/>
  <c r="J174" i="3"/>
  <c r="J59" i="7" s="1"/>
  <c r="J173" i="3"/>
  <c r="J58" i="7" s="1"/>
  <c r="J172" i="3"/>
  <c r="J57" i="7"/>
  <c r="J171" i="3"/>
  <c r="J56" i="7" s="1"/>
  <c r="J170" i="3"/>
  <c r="J55" i="7"/>
  <c r="J169" i="3"/>
  <c r="J54" i="7" s="1"/>
  <c r="J168" i="3"/>
  <c r="J53" i="7"/>
  <c r="J167" i="3"/>
  <c r="J52" i="7" s="1"/>
  <c r="J153" i="3"/>
  <c r="J38" i="7" s="1"/>
  <c r="J152" i="3"/>
  <c r="J37" i="7" s="1"/>
  <c r="J151" i="3"/>
  <c r="J36" i="7" s="1"/>
  <c r="J150" i="3"/>
  <c r="J35" i="7" s="1"/>
  <c r="J148" i="3"/>
  <c r="J33" i="7" s="1"/>
  <c r="J147" i="3"/>
  <c r="J32" i="7" s="1"/>
  <c r="J146" i="3"/>
  <c r="J31" i="7" s="1"/>
  <c r="J145" i="3"/>
  <c r="J30" i="7" s="1"/>
  <c r="J144" i="3"/>
  <c r="J29" i="7" s="1"/>
  <c r="J143" i="3"/>
  <c r="J28" i="7" s="1"/>
  <c r="J142" i="3"/>
  <c r="J27" i="7" s="1"/>
  <c r="J141" i="3"/>
  <c r="J26" i="7" s="1"/>
  <c r="J140" i="3"/>
  <c r="J25" i="7" s="1"/>
  <c r="J139" i="3"/>
  <c r="J24" i="7" s="1"/>
  <c r="J138" i="3"/>
  <c r="J23" i="7"/>
  <c r="J137" i="3"/>
  <c r="J22" i="7" s="1"/>
  <c r="J136" i="3"/>
  <c r="J21" i="7"/>
  <c r="J135" i="3"/>
  <c r="J20" i="7" s="1"/>
  <c r="J133" i="3"/>
  <c r="J18" i="7"/>
  <c r="J132" i="3"/>
  <c r="J17" i="7" s="1"/>
  <c r="J131" i="3"/>
  <c r="J16" i="7"/>
  <c r="J130" i="3"/>
  <c r="J15" i="7" s="1"/>
  <c r="J129" i="3"/>
  <c r="J14" i="7" s="1"/>
  <c r="J128" i="3"/>
  <c r="J13" i="7" s="1"/>
  <c r="J127" i="3"/>
  <c r="J12" i="7"/>
  <c r="J126" i="3"/>
  <c r="J11" i="7" s="1"/>
  <c r="J125" i="3"/>
  <c r="J10" i="7" s="1"/>
  <c r="J124" i="3"/>
  <c r="J9" i="7" s="1"/>
  <c r="J122" i="3"/>
  <c r="J7" i="7"/>
  <c r="J121" i="3"/>
  <c r="J6" i="7" s="1"/>
  <c r="J120" i="3"/>
  <c r="J5" i="7"/>
  <c r="J119" i="3"/>
  <c r="J4" i="7" s="1"/>
  <c r="J117" i="3"/>
  <c r="J16" i="9"/>
  <c r="J116" i="3"/>
  <c r="J15" i="9" s="1"/>
  <c r="J115" i="3"/>
  <c r="J14" i="9" s="1"/>
  <c r="J114" i="3"/>
  <c r="J13" i="9" s="1"/>
  <c r="J113" i="3"/>
  <c r="J12" i="9" s="1"/>
  <c r="J112" i="3"/>
  <c r="J11" i="9" s="1"/>
  <c r="J111" i="3"/>
  <c r="J10" i="9" s="1"/>
  <c r="J110" i="3"/>
  <c r="J9" i="9" s="1"/>
  <c r="J109" i="3"/>
  <c r="J8" i="9" s="1"/>
  <c r="J108" i="3"/>
  <c r="J7" i="9" s="1"/>
  <c r="J107" i="3"/>
  <c r="J6" i="9" s="1"/>
  <c r="J106" i="3"/>
  <c r="J5" i="9" s="1"/>
  <c r="J91" i="3"/>
  <c r="J7" i="8"/>
  <c r="J92" i="3"/>
  <c r="J8" i="8" s="1"/>
  <c r="J93" i="3"/>
  <c r="J9" i="8" s="1"/>
  <c r="J94" i="3"/>
  <c r="J10" i="8" s="1"/>
  <c r="J95" i="3"/>
  <c r="J11" i="8" s="1"/>
  <c r="J96" i="3"/>
  <c r="J12" i="8" s="1"/>
  <c r="J97" i="3"/>
  <c r="J13" i="8" s="1"/>
  <c r="J98" i="3"/>
  <c r="J14" i="8" s="1"/>
  <c r="J99" i="3"/>
  <c r="J15" i="8" s="1"/>
  <c r="J100" i="3"/>
  <c r="J16" i="8" s="1"/>
  <c r="J101" i="3"/>
  <c r="J17" i="8" s="1"/>
  <c r="J102" i="3"/>
  <c r="J18" i="8" s="1"/>
  <c r="J103" i="3"/>
  <c r="J19" i="8" s="1"/>
  <c r="J105" i="3"/>
  <c r="J4" i="9" s="1"/>
  <c r="J90" i="3"/>
  <c r="J6" i="8" s="1"/>
  <c r="J89" i="3"/>
  <c r="J5" i="8" s="1"/>
  <c r="J88" i="3"/>
  <c r="J4" i="8" s="1"/>
  <c r="J86" i="3"/>
  <c r="J77" i="6" s="1"/>
  <c r="J85" i="3"/>
  <c r="J76" i="6" s="1"/>
  <c r="J84" i="3"/>
  <c r="J75" i="6" s="1"/>
  <c r="J83" i="3"/>
  <c r="J74" i="6" s="1"/>
  <c r="J82" i="3"/>
  <c r="J73" i="6" s="1"/>
  <c r="J81" i="3"/>
  <c r="J72" i="6"/>
  <c r="J80" i="3"/>
  <c r="J71" i="6" s="1"/>
  <c r="J78" i="3"/>
  <c r="J83" i="6"/>
  <c r="J77" i="3"/>
  <c r="J82" i="6" s="1"/>
  <c r="J76" i="3"/>
  <c r="J81" i="6" s="1"/>
  <c r="J75" i="3"/>
  <c r="J80" i="6" s="1"/>
  <c r="J74" i="3"/>
  <c r="J79" i="6"/>
  <c r="J72" i="3"/>
  <c r="J69" i="6" s="1"/>
  <c r="J71" i="3"/>
  <c r="J68" i="6" s="1"/>
  <c r="J70" i="3"/>
  <c r="J67" i="6" s="1"/>
  <c r="J69" i="3"/>
  <c r="J66" i="6" s="1"/>
  <c r="J68" i="3"/>
  <c r="J65" i="6" s="1"/>
  <c r="J67" i="3"/>
  <c r="J64" i="6" s="1"/>
  <c r="J66" i="3"/>
  <c r="J63" i="6" s="1"/>
  <c r="J65" i="3"/>
  <c r="J62" i="6"/>
  <c r="J64" i="3"/>
  <c r="J61" i="6" s="1"/>
  <c r="J63" i="3"/>
  <c r="J60" i="6"/>
  <c r="J62" i="3"/>
  <c r="J59" i="6" s="1"/>
  <c r="J61" i="3"/>
  <c r="J58" i="6"/>
  <c r="J60" i="3"/>
  <c r="J57" i="6" s="1"/>
  <c r="J59" i="3"/>
  <c r="J56" i="6" s="1"/>
  <c r="J57" i="3"/>
  <c r="J54" i="6" s="1"/>
  <c r="J56" i="3"/>
  <c r="J53" i="6"/>
  <c r="J55" i="3"/>
  <c r="J52" i="6" s="1"/>
  <c r="J54" i="3"/>
  <c r="J51" i="6" s="1"/>
  <c r="J53" i="3"/>
  <c r="J50" i="6" s="1"/>
  <c r="J52" i="3"/>
  <c r="J49" i="6"/>
  <c r="J51" i="3"/>
  <c r="J48" i="6" s="1"/>
  <c r="J50" i="3"/>
  <c r="J47" i="6" s="1"/>
  <c r="J49" i="3"/>
  <c r="J46" i="6" s="1"/>
  <c r="J48" i="3"/>
  <c r="J45" i="6" s="1"/>
  <c r="J47" i="3"/>
  <c r="J44" i="6" s="1"/>
  <c r="J45" i="3"/>
  <c r="J42" i="6"/>
  <c r="J44" i="3"/>
  <c r="J41" i="6" s="1"/>
  <c r="J43" i="3"/>
  <c r="J40" i="6"/>
  <c r="J42" i="3"/>
  <c r="J39" i="6" s="1"/>
  <c r="J41" i="3"/>
  <c r="J38" i="6" s="1"/>
  <c r="J40" i="3"/>
  <c r="J37" i="6" s="1"/>
  <c r="J39" i="3"/>
  <c r="J36" i="6"/>
  <c r="J38" i="3"/>
  <c r="J35" i="6" s="1"/>
  <c r="J37" i="3"/>
  <c r="J34" i="6" s="1"/>
  <c r="J36" i="3"/>
  <c r="J33" i="6" s="1"/>
  <c r="J35" i="3"/>
  <c r="J32" i="6" s="1"/>
  <c r="J32" i="3"/>
  <c r="J30" i="6" s="1"/>
  <c r="J31" i="3"/>
  <c r="J29" i="6"/>
  <c r="J30" i="3"/>
  <c r="J28" i="6" s="1"/>
  <c r="J29" i="3"/>
  <c r="J27" i="6"/>
  <c r="J28" i="3"/>
  <c r="J26" i="6" s="1"/>
  <c r="J25" i="3"/>
  <c r="J23" i="6"/>
  <c r="J24" i="3"/>
  <c r="J22" i="6" s="1"/>
  <c r="G62" i="2"/>
  <c r="G47" i="2"/>
  <c r="G51" i="2" s="1"/>
  <c r="G60" i="2"/>
  <c r="G58" i="2"/>
  <c r="G56" i="2"/>
  <c r="G54" i="2"/>
  <c r="G52" i="2"/>
  <c r="G50" i="2"/>
  <c r="G48" i="2"/>
  <c r="J15" i="3"/>
  <c r="J13" i="6" s="1"/>
  <c r="J13" i="3"/>
  <c r="J11" i="6"/>
  <c r="J12" i="3"/>
  <c r="J10" i="6" s="1"/>
  <c r="J11" i="3"/>
  <c r="J9" i="6"/>
  <c r="J10" i="3"/>
  <c r="J8" i="6" s="1"/>
  <c r="H47" i="2"/>
  <c r="H61" i="2" s="1"/>
  <c r="I47" i="2"/>
  <c r="I59" i="2" s="1"/>
  <c r="J47" i="2"/>
  <c r="K47" i="2"/>
  <c r="K59" i="2" s="1"/>
  <c r="L47" i="2"/>
  <c r="M47" i="2"/>
  <c r="N47" i="2"/>
  <c r="O47" i="2"/>
  <c r="O55" i="2"/>
  <c r="P47" i="2"/>
  <c r="P63" i="2" s="1"/>
  <c r="Q47" i="2"/>
  <c r="Q57" i="2"/>
  <c r="R47" i="2"/>
  <c r="S47" i="2"/>
  <c r="T47" i="2"/>
  <c r="U47" i="2"/>
  <c r="V47" i="2"/>
  <c r="V51" i="2" s="1"/>
  <c r="W47" i="2"/>
  <c r="X47" i="2"/>
  <c r="Y47" i="2"/>
  <c r="Y49" i="2" s="1"/>
  <c r="Z47" i="2"/>
  <c r="AA47" i="2"/>
  <c r="H48" i="2"/>
  <c r="I48" i="2"/>
  <c r="J48" i="2"/>
  <c r="K48" i="2"/>
  <c r="L48" i="2"/>
  <c r="L49" i="2" s="1"/>
  <c r="M48" i="2"/>
  <c r="N48" i="2"/>
  <c r="O48" i="2"/>
  <c r="P48" i="2"/>
  <c r="P49" i="2"/>
  <c r="Q48" i="2"/>
  <c r="Q49" i="2" s="1"/>
  <c r="R48" i="2"/>
  <c r="S48" i="2"/>
  <c r="S49" i="2" s="1"/>
  <c r="T48" i="2"/>
  <c r="U48" i="2"/>
  <c r="J16" i="3"/>
  <c r="J14" i="6" s="1"/>
  <c r="V48" i="2"/>
  <c r="V49" i="2" s="1"/>
  <c r="W48" i="2"/>
  <c r="W49" i="2" s="1"/>
  <c r="X48" i="2"/>
  <c r="X49" i="2" s="1"/>
  <c r="Y48" i="2"/>
  <c r="Z48" i="2"/>
  <c r="AA48" i="2"/>
  <c r="U49" i="2"/>
  <c r="K16" i="3" s="1"/>
  <c r="K14" i="6" s="1"/>
  <c r="H50" i="2"/>
  <c r="H51" i="2" s="1"/>
  <c r="I50" i="2"/>
  <c r="I51" i="2" s="1"/>
  <c r="J50" i="2"/>
  <c r="K50" i="2"/>
  <c r="L50" i="2"/>
  <c r="M50" i="2"/>
  <c r="M51" i="2" s="1"/>
  <c r="N50" i="2"/>
  <c r="O50" i="2"/>
  <c r="P50" i="2"/>
  <c r="P51" i="2" s="1"/>
  <c r="Q50" i="2"/>
  <c r="Q51" i="2" s="1"/>
  <c r="R50" i="2"/>
  <c r="S50" i="2"/>
  <c r="S51" i="2" s="1"/>
  <c r="T50" i="2"/>
  <c r="U50" i="2"/>
  <c r="J17" i="3" s="1"/>
  <c r="J15" i="6" s="1"/>
  <c r="V50" i="2"/>
  <c r="W50" i="2"/>
  <c r="W51" i="2" s="1"/>
  <c r="X50" i="2"/>
  <c r="Y50" i="2"/>
  <c r="Y51" i="2" s="1"/>
  <c r="Z50" i="2"/>
  <c r="AA50" i="2"/>
  <c r="AA51" i="2" s="1"/>
  <c r="X51" i="2"/>
  <c r="H52" i="2"/>
  <c r="H53" i="2"/>
  <c r="I52" i="2"/>
  <c r="I53" i="2" s="1"/>
  <c r="J52" i="2"/>
  <c r="K52" i="2"/>
  <c r="K53" i="2" s="1"/>
  <c r="L52" i="2"/>
  <c r="L53" i="2" s="1"/>
  <c r="M52" i="2"/>
  <c r="M53" i="2" s="1"/>
  <c r="N52" i="2"/>
  <c r="O52" i="2"/>
  <c r="P52" i="2"/>
  <c r="Q52" i="2"/>
  <c r="Q53" i="2" s="1"/>
  <c r="R52" i="2"/>
  <c r="R53" i="2" s="1"/>
  <c r="S52" i="2"/>
  <c r="S53" i="2" s="1"/>
  <c r="T52" i="2"/>
  <c r="T53" i="2" s="1"/>
  <c r="U52" i="2"/>
  <c r="V52" i="2"/>
  <c r="V53" i="2" s="1"/>
  <c r="W52" i="2"/>
  <c r="X52" i="2"/>
  <c r="X53" i="2" s="1"/>
  <c r="Y52" i="2"/>
  <c r="Y53" i="2" s="1"/>
  <c r="Z52" i="2"/>
  <c r="Z53" i="2" s="1"/>
  <c r="AA52" i="2"/>
  <c r="AA53" i="2" s="1"/>
  <c r="H54" i="2"/>
  <c r="H55" i="2" s="1"/>
  <c r="I54" i="2"/>
  <c r="J54" i="2"/>
  <c r="K54" i="2"/>
  <c r="L54" i="2"/>
  <c r="L55" i="2" s="1"/>
  <c r="M54" i="2"/>
  <c r="N54" i="2"/>
  <c r="N55" i="2"/>
  <c r="O54" i="2"/>
  <c r="P54" i="2"/>
  <c r="Q54" i="2"/>
  <c r="Q55" i="2" s="1"/>
  <c r="R54" i="2"/>
  <c r="S54" i="2"/>
  <c r="S55" i="2"/>
  <c r="T54" i="2"/>
  <c r="U54" i="2"/>
  <c r="V54" i="2"/>
  <c r="W54" i="2"/>
  <c r="X54" i="2"/>
  <c r="Y54" i="2"/>
  <c r="Z54" i="2"/>
  <c r="AA54" i="2"/>
  <c r="AA55" i="2" s="1"/>
  <c r="H56" i="2"/>
  <c r="H57" i="2" s="1"/>
  <c r="I56" i="2"/>
  <c r="J56" i="2"/>
  <c r="K56" i="2"/>
  <c r="L56" i="2"/>
  <c r="L57" i="2" s="1"/>
  <c r="M56" i="2"/>
  <c r="M57" i="2" s="1"/>
  <c r="N56" i="2"/>
  <c r="N57" i="2" s="1"/>
  <c r="O56" i="2"/>
  <c r="P56" i="2"/>
  <c r="P57" i="2" s="1"/>
  <c r="Q56" i="2"/>
  <c r="R56" i="2"/>
  <c r="R57" i="2" s="1"/>
  <c r="S56" i="2"/>
  <c r="S57" i="2" s="1"/>
  <c r="T56" i="2"/>
  <c r="U56" i="2"/>
  <c r="U57" i="2" s="1"/>
  <c r="K20" i="3" s="1"/>
  <c r="K18" i="6" s="1"/>
  <c r="V56" i="2"/>
  <c r="V57" i="2" s="1"/>
  <c r="W56" i="2"/>
  <c r="X56" i="2"/>
  <c r="X57" i="2"/>
  <c r="J20" i="3"/>
  <c r="J18" i="6" s="1"/>
  <c r="Y56" i="2"/>
  <c r="Y57" i="2" s="1"/>
  <c r="Z56" i="2"/>
  <c r="Z57" i="2" s="1"/>
  <c r="AA56" i="2"/>
  <c r="H58" i="2"/>
  <c r="I58" i="2"/>
  <c r="J58" i="2"/>
  <c r="K58" i="2"/>
  <c r="L58" i="2"/>
  <c r="L59" i="2" s="1"/>
  <c r="M58" i="2"/>
  <c r="M59" i="2" s="1"/>
  <c r="N58" i="2"/>
  <c r="O58" i="2"/>
  <c r="O59" i="2" s="1"/>
  <c r="P58" i="2"/>
  <c r="P59" i="2" s="1"/>
  <c r="Q58" i="2"/>
  <c r="Q59" i="2" s="1"/>
  <c r="R58" i="2"/>
  <c r="R59" i="2" s="1"/>
  <c r="S58" i="2"/>
  <c r="S59" i="2"/>
  <c r="T58" i="2"/>
  <c r="T59" i="2" s="1"/>
  <c r="U58" i="2"/>
  <c r="J21" i="3" s="1"/>
  <c r="J19" i="6" s="1"/>
  <c r="U59" i="2"/>
  <c r="K21" i="3" s="1"/>
  <c r="K19" i="6" s="1"/>
  <c r="V58" i="2"/>
  <c r="V59" i="2" s="1"/>
  <c r="W58" i="2"/>
  <c r="X58" i="2"/>
  <c r="X59" i="2" s="1"/>
  <c r="Y58" i="2"/>
  <c r="Y59" i="2" s="1"/>
  <c r="Z58" i="2"/>
  <c r="AA58" i="2"/>
  <c r="AA59" i="2"/>
  <c r="H60" i="2"/>
  <c r="I60" i="2"/>
  <c r="I61" i="2" s="1"/>
  <c r="J60" i="2"/>
  <c r="K60" i="2"/>
  <c r="K61" i="2" s="1"/>
  <c r="L60" i="2"/>
  <c r="L61" i="2" s="1"/>
  <c r="M60" i="2"/>
  <c r="M61" i="2" s="1"/>
  <c r="N60" i="2"/>
  <c r="O60" i="2"/>
  <c r="O61" i="2"/>
  <c r="P60" i="2"/>
  <c r="P61" i="2" s="1"/>
  <c r="Q60" i="2"/>
  <c r="Q61" i="2" s="1"/>
  <c r="R60" i="2"/>
  <c r="S60" i="2"/>
  <c r="T60" i="2"/>
  <c r="U60" i="2"/>
  <c r="J22" i="3" s="1"/>
  <c r="J20" i="6" s="1"/>
  <c r="V60" i="2"/>
  <c r="V61" i="2" s="1"/>
  <c r="W60" i="2"/>
  <c r="W61" i="2" s="1"/>
  <c r="X60" i="2"/>
  <c r="X61" i="2"/>
  <c r="Y60" i="2"/>
  <c r="Z60" i="2"/>
  <c r="AA60" i="2"/>
  <c r="AA61" i="2" s="1"/>
  <c r="H62" i="2"/>
  <c r="H63" i="2" s="1"/>
  <c r="I62" i="2"/>
  <c r="J62" i="2"/>
  <c r="J63" i="2"/>
  <c r="K62" i="2"/>
  <c r="L62" i="2"/>
  <c r="L63" i="2" s="1"/>
  <c r="M62" i="2"/>
  <c r="M63" i="2" s="1"/>
  <c r="N62" i="2"/>
  <c r="O62" i="2"/>
  <c r="O63" i="2"/>
  <c r="P62" i="2"/>
  <c r="Q62" i="2"/>
  <c r="Q63" i="2" s="1"/>
  <c r="R62" i="2"/>
  <c r="S62" i="2"/>
  <c r="S63" i="2" s="1"/>
  <c r="T62" i="2"/>
  <c r="U62" i="2"/>
  <c r="J23" i="3" s="1"/>
  <c r="J21" i="6" s="1"/>
  <c r="V62" i="2"/>
  <c r="W62" i="2"/>
  <c r="X62" i="2"/>
  <c r="X63" i="2" s="1"/>
  <c r="Y62" i="2"/>
  <c r="Z62" i="2"/>
  <c r="AA62" i="2"/>
  <c r="AA63" i="2" s="1"/>
  <c r="J8" i="3"/>
  <c r="J6" i="6" s="1"/>
  <c r="J9" i="3"/>
  <c r="J7" i="6"/>
  <c r="J7" i="3"/>
  <c r="J5" i="6" s="1"/>
  <c r="J6" i="3"/>
  <c r="J4" i="6"/>
  <c r="J4" i="3"/>
  <c r="E49" i="2"/>
  <c r="G16" i="3"/>
  <c r="G14" i="6" s="1"/>
  <c r="E55" i="2"/>
  <c r="G19" i="3"/>
  <c r="G17" i="6" s="1"/>
  <c r="E57" i="2"/>
  <c r="G20" i="3" s="1"/>
  <c r="G18" i="6"/>
  <c r="F53" i="2"/>
  <c r="I18" i="3" s="1"/>
  <c r="I16" i="6" s="1"/>
  <c r="F61" i="2"/>
  <c r="I22" i="3" s="1"/>
  <c r="I20" i="6" s="1"/>
  <c r="J154" i="3"/>
  <c r="J39" i="7"/>
  <c r="F63" i="2"/>
  <c r="I23" i="3"/>
  <c r="I21" i="6" s="1"/>
  <c r="D49" i="2"/>
  <c r="E16" i="3" s="1"/>
  <c r="E14" i="6" s="1"/>
  <c r="D55" i="2"/>
  <c r="E19" i="3" s="1"/>
  <c r="E17" i="6" s="1"/>
  <c r="D57" i="2"/>
  <c r="E20" i="3"/>
  <c r="E18" i="6" s="1"/>
  <c r="AA46" i="4"/>
  <c r="E48" i="4"/>
  <c r="G48" i="4"/>
  <c r="I48" i="4"/>
  <c r="K48" i="4"/>
  <c r="M48" i="4"/>
  <c r="O48" i="4"/>
  <c r="Q48" i="4"/>
  <c r="S48" i="4"/>
  <c r="U48" i="4"/>
  <c r="W48" i="4"/>
  <c r="Y48" i="4"/>
  <c r="AA48" i="4"/>
  <c r="E50" i="4"/>
  <c r="G50" i="4"/>
  <c r="I50" i="4"/>
  <c r="K50" i="4"/>
  <c r="M50" i="4"/>
  <c r="O50" i="4"/>
  <c r="Q50" i="4"/>
  <c r="S50" i="4"/>
  <c r="U50" i="4"/>
  <c r="W50" i="4"/>
  <c r="Y50" i="4"/>
  <c r="AA50" i="4"/>
  <c r="D55" i="4"/>
  <c r="Z55" i="4"/>
  <c r="X55" i="4"/>
  <c r="V55" i="4"/>
  <c r="T55" i="4"/>
  <c r="R55" i="4"/>
  <c r="P55" i="4"/>
  <c r="N55" i="4"/>
  <c r="L55" i="4"/>
  <c r="J55" i="4"/>
  <c r="H55" i="4"/>
  <c r="F55" i="4"/>
  <c r="AA53" i="4"/>
  <c r="Y53" i="4"/>
  <c r="W53" i="4"/>
  <c r="U53" i="4"/>
  <c r="S53" i="4"/>
  <c r="Q53" i="4"/>
  <c r="O53" i="4"/>
  <c r="M53" i="4"/>
  <c r="K53" i="4"/>
  <c r="I53" i="4"/>
  <c r="G53" i="4"/>
  <c r="E53" i="4"/>
  <c r="Z46" i="4"/>
  <c r="D48" i="4"/>
  <c r="F48" i="4"/>
  <c r="H48" i="4"/>
  <c r="J48" i="4"/>
  <c r="L48" i="4"/>
  <c r="N48" i="4"/>
  <c r="P48" i="4"/>
  <c r="R48" i="4"/>
  <c r="T48" i="4"/>
  <c r="V48" i="4"/>
  <c r="X48" i="4"/>
  <c r="Z48" i="4"/>
  <c r="D50" i="4"/>
  <c r="F50" i="4"/>
  <c r="H50" i="4"/>
  <c r="J50" i="4"/>
  <c r="L50" i="4"/>
  <c r="N50" i="4"/>
  <c r="P50" i="4"/>
  <c r="R50" i="4"/>
  <c r="T50" i="4"/>
  <c r="V50" i="4"/>
  <c r="X50" i="4"/>
  <c r="Z50" i="4"/>
  <c r="D53" i="4"/>
  <c r="AA55" i="4"/>
  <c r="Y55" i="4"/>
  <c r="W55" i="4"/>
  <c r="U55" i="4"/>
  <c r="S55" i="4"/>
  <c r="Q55" i="4"/>
  <c r="O55" i="4"/>
  <c r="M55" i="4"/>
  <c r="K55" i="4"/>
  <c r="I55" i="4"/>
  <c r="G55" i="4"/>
  <c r="E55" i="4"/>
  <c r="Z53" i="4"/>
  <c r="X53" i="4"/>
  <c r="V53" i="4"/>
  <c r="T53" i="4"/>
  <c r="R53" i="4"/>
  <c r="P53" i="4"/>
  <c r="N53" i="4"/>
  <c r="L53" i="4"/>
  <c r="J53" i="4"/>
  <c r="H53" i="4"/>
  <c r="F53" i="4"/>
  <c r="E51" i="2"/>
  <c r="G17" i="3" s="1"/>
  <c r="G15" i="6" s="1"/>
  <c r="J53" i="2"/>
  <c r="T61" i="2"/>
  <c r="M55" i="2"/>
  <c r="X55" i="2"/>
  <c r="L51" i="2"/>
  <c r="M49" i="2"/>
  <c r="J2" i="7"/>
  <c r="F51" i="2"/>
  <c r="I17" i="3" s="1"/>
  <c r="I15" i="6" s="1"/>
  <c r="D17" i="3"/>
  <c r="D15" i="6" s="1"/>
  <c r="D21" i="3"/>
  <c r="D19" i="6"/>
  <c r="F21" i="3"/>
  <c r="F19" i="6" s="1"/>
  <c r="E36" i="4"/>
  <c r="I36" i="4"/>
  <c r="M36" i="4"/>
  <c r="Q36" i="4"/>
  <c r="S36" i="4"/>
  <c r="U36" i="4"/>
  <c r="W36" i="4"/>
  <c r="Y36" i="4"/>
  <c r="E38" i="4"/>
  <c r="I38" i="4"/>
  <c r="M38" i="4"/>
  <c r="Q38" i="4"/>
  <c r="S38" i="4"/>
  <c r="U38" i="4"/>
  <c r="W38" i="4"/>
  <c r="Y38" i="4"/>
  <c r="E40" i="4"/>
  <c r="I40" i="4"/>
  <c r="M40" i="4"/>
  <c r="Q40" i="4"/>
  <c r="S40" i="4"/>
  <c r="U40" i="4"/>
  <c r="W40" i="4"/>
  <c r="Y40" i="4"/>
  <c r="E42" i="4"/>
  <c r="I42" i="4"/>
  <c r="M42" i="4"/>
  <c r="Q42" i="4"/>
  <c r="U42" i="4"/>
  <c r="W42" i="4"/>
  <c r="Y42" i="4"/>
  <c r="E44" i="4"/>
  <c r="I44" i="4"/>
  <c r="M44" i="4"/>
  <c r="Q44" i="4"/>
  <c r="U44" i="4"/>
  <c r="Y44" i="4"/>
  <c r="V55" i="2" l="1"/>
  <c r="W53" i="2"/>
  <c r="F22" i="3"/>
  <c r="F20" i="6" s="1"/>
  <c r="H21" i="3"/>
  <c r="H19" i="6" s="1"/>
  <c r="E53" i="2"/>
  <c r="G18" i="3" s="1"/>
  <c r="G16" i="6" s="1"/>
  <c r="V63" i="2"/>
  <c r="U61" i="2"/>
  <c r="K22" i="3" s="1"/>
  <c r="K20" i="6" s="1"/>
  <c r="T55" i="2"/>
  <c r="AA49" i="2"/>
  <c r="H49" i="2"/>
  <c r="O53" i="2"/>
  <c r="N63" i="2"/>
  <c r="D51" i="2"/>
  <c r="E17" i="3" s="1"/>
  <c r="E15" i="6" s="1"/>
  <c r="N49" i="2"/>
  <c r="Z61" i="2"/>
  <c r="S61" i="2"/>
  <c r="L46" i="4"/>
  <c r="U63" i="2"/>
  <c r="K23" i="3" s="1"/>
  <c r="K21" i="6" s="1"/>
  <c r="Y61" i="2"/>
  <c r="Y55" i="2"/>
  <c r="U51" i="2"/>
  <c r="K17" i="3" s="1"/>
  <c r="K15" i="6" s="1"/>
  <c r="R63" i="2"/>
  <c r="E63" i="2"/>
  <c r="G23" i="3" s="1"/>
  <c r="G21" i="6" s="1"/>
  <c r="H59" i="2"/>
  <c r="Y63" i="2"/>
  <c r="AA57" i="2"/>
  <c r="P55" i="2"/>
  <c r="I55" i="2"/>
  <c r="P53" i="2"/>
  <c r="G61" i="2"/>
  <c r="E59" i="2"/>
  <c r="G21" i="3" s="1"/>
  <c r="G19" i="6" s="1"/>
  <c r="F57" i="2"/>
  <c r="I20" i="3" s="1"/>
  <c r="I18" i="6" s="1"/>
  <c r="L36" i="4"/>
  <c r="X36" i="4"/>
  <c r="G38" i="4"/>
  <c r="X42" i="4"/>
  <c r="G44" i="4"/>
  <c r="F46" i="4"/>
  <c r="K36" i="4"/>
  <c r="P38" i="4"/>
  <c r="P44" i="4"/>
  <c r="S46" i="4"/>
  <c r="G40" i="4"/>
  <c r="G46" i="4"/>
  <c r="K38" i="4"/>
  <c r="P40" i="4"/>
  <c r="K44" i="4"/>
  <c r="G36" i="4"/>
  <c r="N36" i="4"/>
  <c r="P46" i="4"/>
  <c r="J40" i="4"/>
  <c r="X40" i="4"/>
  <c r="G42" i="4"/>
  <c r="O57" i="2"/>
  <c r="R61" i="2"/>
  <c r="D61" i="2"/>
  <c r="E22" i="3" s="1"/>
  <c r="E20" i="6" s="1"/>
  <c r="D53" i="2"/>
  <c r="E18" i="3" s="1"/>
  <c r="E16" i="6" s="1"/>
  <c r="W63" i="2"/>
  <c r="Z59" i="2"/>
  <c r="N59" i="2"/>
  <c r="W55" i="2"/>
  <c r="Z51" i="2"/>
  <c r="O51" i="2"/>
  <c r="T49" i="2"/>
  <c r="O49" i="2"/>
  <c r="I49" i="2"/>
  <c r="G53" i="2"/>
  <c r="G63" i="2"/>
  <c r="D63" i="2"/>
  <c r="E23" i="3" s="1"/>
  <c r="E21" i="6" s="1"/>
  <c r="K55" i="2"/>
  <c r="J2" i="9"/>
  <c r="J2" i="6"/>
  <c r="Z63" i="2"/>
  <c r="W59" i="2"/>
  <c r="W57" i="2"/>
  <c r="J55" i="2"/>
  <c r="N51" i="2"/>
  <c r="K51" i="2"/>
  <c r="G55" i="2"/>
  <c r="J19" i="3"/>
  <c r="J17" i="6" s="1"/>
  <c r="U55" i="2"/>
  <c r="K19" i="3" s="1"/>
  <c r="K17" i="6" s="1"/>
  <c r="K63" i="2"/>
  <c r="K57" i="2"/>
  <c r="R49" i="2"/>
  <c r="J49" i="2"/>
  <c r="J57" i="2"/>
  <c r="J61" i="2"/>
  <c r="G57" i="2"/>
  <c r="R51" i="2"/>
  <c r="G59" i="2"/>
  <c r="J59" i="2"/>
  <c r="J51" i="2"/>
  <c r="K49" i="2"/>
  <c r="T57" i="2"/>
  <c r="T51" i="2"/>
  <c r="G49" i="2"/>
  <c r="R55" i="2"/>
  <c r="Z55" i="2"/>
  <c r="J2" i="8"/>
  <c r="T63" i="2"/>
  <c r="I63" i="2"/>
  <c r="N61" i="2"/>
  <c r="I57" i="2"/>
  <c r="J18" i="3"/>
  <c r="J16" i="6" s="1"/>
  <c r="U53" i="2"/>
  <c r="K18" i="3" s="1"/>
  <c r="K16" i="6" s="1"/>
  <c r="N53" i="2"/>
  <c r="Z49" i="2"/>
  <c r="H19" i="3"/>
  <c r="H17" i="6" s="1"/>
  <c r="F55" i="2"/>
  <c r="I19" i="3" s="1"/>
  <c r="I17" i="6" s="1"/>
  <c r="H38" i="4"/>
  <c r="H44" i="4"/>
  <c r="L40" i="4"/>
  <c r="N42" i="4"/>
  <c r="J44" i="4"/>
  <c r="J38" i="4"/>
  <c r="Z40" i="4"/>
  <c r="H42" i="4"/>
  <c r="D44" i="4"/>
  <c r="R44" i="4"/>
  <c r="H36" i="4"/>
  <c r="D38" i="4"/>
  <c r="R38" i="4"/>
  <c r="L44" i="4"/>
  <c r="N46" i="4"/>
  <c r="L38" i="4"/>
  <c r="N40" i="4"/>
  <c r="J42" i="4"/>
  <c r="Z44" i="4"/>
  <c r="H46" i="4"/>
  <c r="J36" i="4"/>
  <c r="Z38" i="4"/>
  <c r="H40" i="4"/>
  <c r="D42" i="4"/>
  <c r="R42" i="4"/>
  <c r="N44" i="4"/>
  <c r="F36" i="4"/>
  <c r="O36" i="4"/>
  <c r="T36" i="4"/>
  <c r="F38" i="4"/>
  <c r="O38" i="4"/>
  <c r="T38" i="4"/>
  <c r="F40" i="4"/>
  <c r="O40" i="4"/>
  <c r="T40" i="4"/>
  <c r="F42" i="4"/>
  <c r="O42" i="4"/>
  <c r="T42" i="4"/>
  <c r="F44" i="4"/>
  <c r="O4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BMBC</author>
  </authors>
  <commentList>
    <comment ref="D2" authorId="0" shapeId="0" xr:uid="{00000000-0006-0000-0200-000001000000}">
      <text>
        <r>
          <rPr>
            <b/>
            <sz val="14"/>
            <color indexed="10"/>
            <rFont val="Arial"/>
            <family val="2"/>
          </rPr>
          <t>BMBC:</t>
        </r>
        <r>
          <rPr>
            <sz val="14"/>
            <color indexed="10"/>
            <rFont val="Arial"/>
            <family val="2"/>
          </rPr>
          <t xml:space="preserve">
Please click on the yellow box and select the ward using the drop down list.</t>
        </r>
      </text>
    </comment>
  </commentList>
</comments>
</file>

<file path=xl/sharedStrings.xml><?xml version="1.0" encoding="utf-8"?>
<sst xmlns="http://schemas.openxmlformats.org/spreadsheetml/2006/main" count="2003" uniqueCount="435">
  <si>
    <t>2011 ward</t>
  </si>
  <si>
    <t>count of Household; All households</t>
  </si>
  <si>
    <t>number</t>
  </si>
  <si>
    <t>%</t>
  </si>
  <si>
    <t>No adults in employment in household</t>
  </si>
  <si>
    <t>No adults in employment in household: With dependent children</t>
  </si>
  <si>
    <t>No adults in employment in household: No dependent children</t>
  </si>
  <si>
    <t>Dependent children in household: All ages</t>
  </si>
  <si>
    <t>Dependent children in household: Age 0 to 4</t>
  </si>
  <si>
    <t>One person in household with a long-term health problem or disability</t>
  </si>
  <si>
    <t>One person in household with a long-term health problem or disability: With dependent children</t>
  </si>
  <si>
    <t>One person in household with a long-term health problem or disability: No dependent children</t>
  </si>
  <si>
    <t>Adults not in employment</t>
  </si>
  <si>
    <t>Age 0 to 4</t>
  </si>
  <si>
    <t>Age 5 to 7</t>
  </si>
  <si>
    <t>Age 8 to 9</t>
  </si>
  <si>
    <t>Age 10 to 14</t>
  </si>
  <si>
    <t>Age 15</t>
  </si>
  <si>
    <t>Age 16 to 17</t>
  </si>
  <si>
    <t>Age 18 to 19</t>
  </si>
  <si>
    <t>Age 20 to 24</t>
  </si>
  <si>
    <t>Age 25 to 29</t>
  </si>
  <si>
    <t>Age 30 to 44</t>
  </si>
  <si>
    <t>Age 45 to 59</t>
  </si>
  <si>
    <t>Age 60 to 64</t>
  </si>
  <si>
    <t>Age 65 to 74</t>
  </si>
  <si>
    <t>Age 75 to 84</t>
  </si>
  <si>
    <t>Age 85 to 89</t>
  </si>
  <si>
    <t>Age 90 and over</t>
  </si>
  <si>
    <t>Mean Age</t>
  </si>
  <si>
    <t>-</t>
  </si>
  <si>
    <t>Median Age</t>
  </si>
  <si>
    <t>Age Groups</t>
  </si>
  <si>
    <t>All categories: Car or van availability</t>
  </si>
  <si>
    <t>No cars or vans in household</t>
  </si>
  <si>
    <t>1 car or van in household</t>
  </si>
  <si>
    <t>2 cars or vans in household</t>
  </si>
  <si>
    <t>3 cars or vans in household</t>
  </si>
  <si>
    <t>4 or more cars or vans in household</t>
  </si>
  <si>
    <t>sum of all cars or vans in the area</t>
  </si>
  <si>
    <t>Car Availability</t>
  </si>
  <si>
    <t>All communal establishments</t>
  </si>
  <si>
    <t>All categories: Usual residents by communal establishment management and type</t>
  </si>
  <si>
    <t>Medical and care establishment: NHS: General hospital</t>
  </si>
  <si>
    <t>Medical and care establishment: NHS: Mental health hospital/unit (including secure units)</t>
  </si>
  <si>
    <t>Medical and care establishment: NHS: Other hospital</t>
  </si>
  <si>
    <t>Medical and care establishment: Local Authority: Children's home (including secure units)</t>
  </si>
  <si>
    <t>Medical and care establishment: Local Authority: Care home or other home</t>
  </si>
  <si>
    <t>Medical and care establishment: Registered Social Landlord/Housing Association</t>
  </si>
  <si>
    <t>Medical and care establishment: Other: Care home with nursing</t>
  </si>
  <si>
    <t>Medical and care establishment: Other: Care home without nursing</t>
  </si>
  <si>
    <t>Medical and care establishment: Other: Children's home (including secure units)</t>
  </si>
  <si>
    <t>Medical and care establishment: Other</t>
  </si>
  <si>
    <t>Other establishments</t>
  </si>
  <si>
    <t>Establishment not stated</t>
  </si>
  <si>
    <t>Communal Establishments</t>
  </si>
  <si>
    <t>All usual residents</t>
  </si>
  <si>
    <t>United Kingdom</t>
  </si>
  <si>
    <t>England</t>
  </si>
  <si>
    <t>Northern Ireland</t>
  </si>
  <si>
    <t>Scotland</t>
  </si>
  <si>
    <t>Wales</t>
  </si>
  <si>
    <t>United Kingdom not otherwise specified</t>
  </si>
  <si>
    <t>Ireland</t>
  </si>
  <si>
    <t>Other EU</t>
  </si>
  <si>
    <t>Other EU: Member countries in March 2001</t>
  </si>
  <si>
    <t>Other EU: Accession countries April 2001 to March 2011</t>
  </si>
  <si>
    <t>Other countries</t>
  </si>
  <si>
    <t>Country of Birth</t>
  </si>
  <si>
    <t>All categories: Dwelling type</t>
  </si>
  <si>
    <t>Unshared dwelling</t>
  </si>
  <si>
    <t>Shared dwelling: Two household spaces</t>
  </si>
  <si>
    <t>Shared dwelling: Three or more household spaces</t>
  </si>
  <si>
    <t>All categories: Household spaces</t>
  </si>
  <si>
    <t>Household spaces with at least one usual resident</t>
  </si>
  <si>
    <t>Household spaces with no usual residents</t>
  </si>
  <si>
    <t>Whole house or bungalow: Detached</t>
  </si>
  <si>
    <t>Whole house or bungalow: Semi-detached</t>
  </si>
  <si>
    <t>Whole house or bungalow: Terraced (including end-terrace)</t>
  </si>
  <si>
    <t>Flat, maisonette or apartment: Purpose-built block of flats or tenement</t>
  </si>
  <si>
    <t>Flat, maisonette or apartment: Part of a converted or shared house (including bed-sits)</t>
  </si>
  <si>
    <t>Flat, maisonette or apartment: In a commercial building</t>
  </si>
  <si>
    <t>Caravan or other mobile or temporary structure</t>
  </si>
  <si>
    <t>Dwellings</t>
  </si>
  <si>
    <t>All usual residents aged 16 to 74</t>
  </si>
  <si>
    <t>Economically active</t>
  </si>
  <si>
    <t>Economically active: In employment</t>
  </si>
  <si>
    <t>Economically active: Employee: Part-time</t>
  </si>
  <si>
    <t>Economically active: Employee: Full-time</t>
  </si>
  <si>
    <t>Economically active: Self-employed</t>
  </si>
  <si>
    <t>Economically active: Unemployed</t>
  </si>
  <si>
    <t>Economically active: Full-time student</t>
  </si>
  <si>
    <t>Economically Inactive</t>
  </si>
  <si>
    <t>Economically inactive: Retired</t>
  </si>
  <si>
    <t>Economically inactive: Student (including full-time students)</t>
  </si>
  <si>
    <t>Economically inactive: Looking after home or family</t>
  </si>
  <si>
    <t>Economically inactive: Long-term sick or disabled</t>
  </si>
  <si>
    <t>Economically inactive: Other</t>
  </si>
  <si>
    <t>Unemployed: Age 16 to 24</t>
  </si>
  <si>
    <t>Unemployed: Age 50 to 74</t>
  </si>
  <si>
    <t>Unemployed: Never worked</t>
  </si>
  <si>
    <t>Long-term unemployed</t>
  </si>
  <si>
    <t>Economic Activity</t>
  </si>
  <si>
    <t>White</t>
  </si>
  <si>
    <t>Mixed/multiple ethnic groups</t>
  </si>
  <si>
    <t>Asian/Asian British</t>
  </si>
  <si>
    <t>Black/African/Caribbean/Black British</t>
  </si>
  <si>
    <t>Other ethnic group</t>
  </si>
  <si>
    <t>All categories: Long-term health problem or disability</t>
  </si>
  <si>
    <t>Day-to-day activities limited a lot</t>
  </si>
  <si>
    <t>Day-to-day activities limited a little</t>
  </si>
  <si>
    <t>Day-to-day activities not limited</t>
  </si>
  <si>
    <t>Day-to-day activities limited a lot: Age 16 to 64</t>
  </si>
  <si>
    <t>Day-to-day activities limited a little: Age 16 to 64</t>
  </si>
  <si>
    <t>Day-to-day activities not limited: Age 16 to 64</t>
  </si>
  <si>
    <t>Very good health</t>
  </si>
  <si>
    <t>Good health</t>
  </si>
  <si>
    <t>Fair health</t>
  </si>
  <si>
    <t>Bad health</t>
  </si>
  <si>
    <t>Very bad health</t>
  </si>
  <si>
    <t>Provides no unpaid care</t>
  </si>
  <si>
    <t>Provides 1 to 19 hours unpaid care a week</t>
  </si>
  <si>
    <t>Provides 20 to 49 hours unpaid care a week</t>
  </si>
  <si>
    <t>Provides 50 or more hours unpaid care a week</t>
  </si>
  <si>
    <t>Health and Provision of Unpaid Care</t>
  </si>
  <si>
    <t>All usual residents aged 16 to 74 in employment the week before the census</t>
  </si>
  <si>
    <t>Part-time: 15 hours or less worked</t>
  </si>
  <si>
    <t>Part-time: 16 to 30 hours worked</t>
  </si>
  <si>
    <t>Full-time: 31 to 48 hours worked</t>
  </si>
  <si>
    <t>Full-time: 49 or more hours worked</t>
  </si>
  <si>
    <t>Hours Worked</t>
  </si>
  <si>
    <t>All categories: English as a household language</t>
  </si>
  <si>
    <t>All people aged 16 and over in household have English as a main language (English or Welsh in Wales)</t>
  </si>
  <si>
    <t>At least one but not all people aged 16 and over in household have English as a main language (English or Welsh in Wales)</t>
  </si>
  <si>
    <t>No people aged 16 and over in household but at least one person aged 3 to 15 has English as a main language (English or Welsh in Wales)</t>
  </si>
  <si>
    <t>No people in household have English as a main language (English or Welsh in Wales)</t>
  </si>
  <si>
    <t>Household Language</t>
  </si>
  <si>
    <t>All categories: Industry</t>
  </si>
  <si>
    <t>A Agriculture, forestry and fishing</t>
  </si>
  <si>
    <t>B Mining and quarrying</t>
  </si>
  <si>
    <t>C Manufacturing</t>
  </si>
  <si>
    <t>D Electricity, gas, steam and air conditioning supply</t>
  </si>
  <si>
    <t>E Water supply; sewerage, waste management and remediation activities</t>
  </si>
  <si>
    <t>F Construction</t>
  </si>
  <si>
    <t>G Wholesale and retail trade; repair of motor vehicles and motor cycles</t>
  </si>
  <si>
    <t>H Transport and storage</t>
  </si>
  <si>
    <t>I Accommodation and food service activities</t>
  </si>
  <si>
    <t>J Information and communication</t>
  </si>
  <si>
    <t>K Financial and insurance activities</t>
  </si>
  <si>
    <t>L Real estate activities</t>
  </si>
  <si>
    <t>M Professional, scientific and technical activities</t>
  </si>
  <si>
    <t>N Administrative and support service activities</t>
  </si>
  <si>
    <t>O Public administration and defence; compulsory social security</t>
  </si>
  <si>
    <t>P Education</t>
  </si>
  <si>
    <t>Q Human health and social work activities</t>
  </si>
  <si>
    <t>R, S, T, U Other</t>
  </si>
  <si>
    <t>Industry</t>
  </si>
  <si>
    <t>All categories: Living arrangements</t>
  </si>
  <si>
    <t>Living in couple</t>
  </si>
  <si>
    <t>Living in a couple: Married or in a registered same-sex civil partnership</t>
  </si>
  <si>
    <t>Living in a couple: Cohabiting</t>
  </si>
  <si>
    <t>Not living in couple</t>
  </si>
  <si>
    <t>Not living in a couple: Single (never married or never registered a same-sex civil partnership)</t>
  </si>
  <si>
    <t>Not living in a couple: Married or in a registered same-sex civil partnership</t>
  </si>
  <si>
    <t>Not living in a couple: Separated (but still legally married or still legally in a same-sex civil partnership)</t>
  </si>
  <si>
    <t>Not living in a couple: Divorced or formerly in a same-sex civil partnership which is now legally dissolved</t>
  </si>
  <si>
    <t>Not living in a couple: Widowed or surviving partner from a same-sex civil partnership</t>
  </si>
  <si>
    <t>Living Arrangements</t>
  </si>
  <si>
    <t>All lone parent housholds with dependent children</t>
  </si>
  <si>
    <t>Lone parent in part-time employment: Total</t>
  </si>
  <si>
    <t>Lone parent in full-time employment: Total</t>
  </si>
  <si>
    <t>Lone parent not in employment: Total</t>
  </si>
  <si>
    <t>Male lone parent: In part-time employment</t>
  </si>
  <si>
    <t>Male lone parent: In full-time employment</t>
  </si>
  <si>
    <t>Male lone parent: Not in employment</t>
  </si>
  <si>
    <t>Female lone parent: Total</t>
  </si>
  <si>
    <t>Female lone parent: In part-time employment</t>
  </si>
  <si>
    <t>Female lone parent: In full-time employment</t>
  </si>
  <si>
    <t>Female lone parent: Not in employment</t>
  </si>
  <si>
    <t>Lone parent Households with Dependent Children</t>
  </si>
  <si>
    <t>All usual residents aged 16+</t>
  </si>
  <si>
    <t>Single (never married or never registered a same-sex civil partnership)</t>
  </si>
  <si>
    <t>Married</t>
  </si>
  <si>
    <t>In a registered same-sex civil partnership</t>
  </si>
  <si>
    <t>Separated (but still legally married or still legally in a same-sex civil partnership)</t>
  </si>
  <si>
    <t>Divorced or formerly in a same-sex civil partnership which is now legally dissolved</t>
  </si>
  <si>
    <t>Widowed or surviving partner from a same-sex civil partnership</t>
  </si>
  <si>
    <t>Marital Status</t>
  </si>
  <si>
    <t>All categories: NS-SeC</t>
  </si>
  <si>
    <t>1. Higher managerial, administrative and professional occupations</t>
  </si>
  <si>
    <t>1.1 Large employers and higher managerial and administrative occupations</t>
  </si>
  <si>
    <t>1.2 Higher professional occupations</t>
  </si>
  <si>
    <t>2. Lower managerial, administrative and professional occupations</t>
  </si>
  <si>
    <t>3. Intermediate occupations</t>
  </si>
  <si>
    <t>4. Small employers and own account workers</t>
  </si>
  <si>
    <t>5. Lower supervisory and technical occupations</t>
  </si>
  <si>
    <t>6. Semi-routine occupations</t>
  </si>
  <si>
    <t>7. Routine occupations</t>
  </si>
  <si>
    <t>8. Never worked and long-term unemployed</t>
  </si>
  <si>
    <t>L14.1 Never worked</t>
  </si>
  <si>
    <t>L14.2 Long-term unemployed</t>
  </si>
  <si>
    <t>Not classified</t>
  </si>
  <si>
    <t>L15 Full-time students</t>
  </si>
  <si>
    <t>L17 Not classifiable for other reasons</t>
  </si>
  <si>
    <t>All categories: Occupation</t>
  </si>
  <si>
    <t>1. Managers, directors and senior officials</t>
  </si>
  <si>
    <t>2. Professional occupations</t>
  </si>
  <si>
    <t>3. Associate professional and technical occupations</t>
  </si>
  <si>
    <t>4. Administrative and secretarial occupations</t>
  </si>
  <si>
    <t>5. Skilled trades occupations</t>
  </si>
  <si>
    <t>6. Caring, leisure and other service occupations</t>
  </si>
  <si>
    <t>7. Sales and customer service occupations</t>
  </si>
  <si>
    <t>8. Process plant and machine operatives</t>
  </si>
  <si>
    <t>9. Elementary occupations</t>
  </si>
  <si>
    <t>No passport</t>
  </si>
  <si>
    <t>With passport</t>
  </si>
  <si>
    <t>Republic of Ireland</t>
  </si>
  <si>
    <t>Other Europe: EU countries</t>
  </si>
  <si>
    <t>Other Europe: Non EU countries</t>
  </si>
  <si>
    <t>Africa</t>
  </si>
  <si>
    <t>Middle East and Asia</t>
  </si>
  <si>
    <t>North America and the Caribbean</t>
  </si>
  <si>
    <t>Central America</t>
  </si>
  <si>
    <t>South America</t>
  </si>
  <si>
    <t>Antarctica and Oceania</t>
  </si>
  <si>
    <t>British Overseas Territories</t>
  </si>
  <si>
    <t>All categories: Highest level of qualification</t>
  </si>
  <si>
    <t>No qualifications</t>
  </si>
  <si>
    <t>Highest level of qualification: Level 1 qualifications</t>
  </si>
  <si>
    <t>Highest level of qualification: Level 2 qualifications</t>
  </si>
  <si>
    <t>Highest level of qualification: Apprenticeship</t>
  </si>
  <si>
    <t>Highest level of qualification: Level 3 qualifications</t>
  </si>
  <si>
    <t>Highest level of qualification: Level 4 qualifications and above</t>
  </si>
  <si>
    <t>Highest level of qualification: Other qualifications</t>
  </si>
  <si>
    <t>Schoolchildren and full-time students: Age 16 to 17</t>
  </si>
  <si>
    <t>Schoolchildren and full-time students: Age 18 and over</t>
  </si>
  <si>
    <t>Full-time students: Age 18 to 74: Economically active: In employment</t>
  </si>
  <si>
    <t>Full-time students: Age 18 to 74: Economically active: Unemployed</t>
  </si>
  <si>
    <t>Full-time students: Age 18 to 74: Economically inactive</t>
  </si>
  <si>
    <t>Passport Held</t>
  </si>
  <si>
    <t>Occupation</t>
  </si>
  <si>
    <t>Qualification &amp; Students</t>
  </si>
  <si>
    <t>All categories: Religion</t>
  </si>
  <si>
    <t>Has religion</t>
  </si>
  <si>
    <t>Christian</t>
  </si>
  <si>
    <t>Buddhist</t>
  </si>
  <si>
    <t>Hindu</t>
  </si>
  <si>
    <t>Jewish</t>
  </si>
  <si>
    <t>Muslim</t>
  </si>
  <si>
    <t>Sikh</t>
  </si>
  <si>
    <t>Other religion</t>
  </si>
  <si>
    <t>No religion</t>
  </si>
  <si>
    <t>Religion not stated</t>
  </si>
  <si>
    <t>Religion</t>
  </si>
  <si>
    <t>All categories: Type of central heating in household</t>
  </si>
  <si>
    <t>Does not have central heating</t>
  </si>
  <si>
    <t>Does have central heating</t>
  </si>
  <si>
    <t>Occupancy rating (rooms) of -1 or less</t>
  </si>
  <si>
    <t>Occupancy rating (bedrooms) of -1 or less</t>
  </si>
  <si>
    <t>Average household size</t>
  </si>
  <si>
    <t>Average number of rooms per household</t>
  </si>
  <si>
    <t>Average number of bedrooms per household</t>
  </si>
  <si>
    <t>Rooms, Bedrooms and Central Heating</t>
  </si>
  <si>
    <t>All households</t>
  </si>
  <si>
    <t>Owned</t>
  </si>
  <si>
    <t>Owned: Owned outright</t>
  </si>
  <si>
    <t>Owned: Owned with a mortgage or loan</t>
  </si>
  <si>
    <t>Shared ownership (part owned and part rented)</t>
  </si>
  <si>
    <t>Social rented</t>
  </si>
  <si>
    <t>Social rented: Rented from council (Local Authority)</t>
  </si>
  <si>
    <t>Social rented: Other</t>
  </si>
  <si>
    <t>Private rented</t>
  </si>
  <si>
    <t>Private rented: Private landlord or letting agency</t>
  </si>
  <si>
    <t>Private rented: Other</t>
  </si>
  <si>
    <t>Living rent free</t>
  </si>
  <si>
    <t>Tenure</t>
  </si>
  <si>
    <t>NS-Sec</t>
  </si>
  <si>
    <t>Central</t>
  </si>
  <si>
    <t>Cudworth</t>
  </si>
  <si>
    <t>Darfield</t>
  </si>
  <si>
    <t>Darton East</t>
  </si>
  <si>
    <t>Darton West</t>
  </si>
  <si>
    <t>Dearne North</t>
  </si>
  <si>
    <t>Dearne South</t>
  </si>
  <si>
    <t>Dodworth</t>
  </si>
  <si>
    <t>Hoyland Milton</t>
  </si>
  <si>
    <t>Kingstone</t>
  </si>
  <si>
    <t>Monk Bretton</t>
  </si>
  <si>
    <t>North East</t>
  </si>
  <si>
    <t>Old Town</t>
  </si>
  <si>
    <t>Penistone East</t>
  </si>
  <si>
    <t>Penistone West</t>
  </si>
  <si>
    <t>Rockingham</t>
  </si>
  <si>
    <t>Royston</t>
  </si>
  <si>
    <t>St Helens</t>
  </si>
  <si>
    <t>Stairfoot</t>
  </si>
  <si>
    <t>Wombwell</t>
  </si>
  <si>
    <t>Worsbrough</t>
  </si>
  <si>
    <t>All categories: National identity English</t>
  </si>
  <si>
    <t>All categories: National identity Welsh</t>
  </si>
  <si>
    <t>All categories: National identity Scottish</t>
  </si>
  <si>
    <t>All categories: National identity Northern Irish</t>
  </si>
  <si>
    <t>All categories: National identity British</t>
  </si>
  <si>
    <t>All categories: National identity Cornish</t>
  </si>
  <si>
    <t>All categories: National identity Irish</t>
  </si>
  <si>
    <t>All categories: National identity Other</t>
  </si>
  <si>
    <t>National Identity</t>
  </si>
  <si>
    <t>All categories: Household composition</t>
  </si>
  <si>
    <t>One person houshold</t>
  </si>
  <si>
    <t>One family household</t>
  </si>
  <si>
    <t>Other household types</t>
  </si>
  <si>
    <t>Household Composition</t>
  </si>
  <si>
    <t>Ethnic Groups</t>
  </si>
  <si>
    <t>Males</t>
  </si>
  <si>
    <t>Females</t>
  </si>
  <si>
    <t>Schoolchild or full-time student aged 4 and over at their non term-time address</t>
  </si>
  <si>
    <t>Area (Hectares)</t>
  </si>
  <si>
    <t>Density (number of persons per hectare)</t>
  </si>
  <si>
    <t>Usual Resident Population</t>
  </si>
  <si>
    <t xml:space="preserve">2011 CENSUS </t>
  </si>
  <si>
    <t>AREA PROFILES</t>
  </si>
  <si>
    <t>Yorkshire and the Humber</t>
  </si>
  <si>
    <t>Barnsley</t>
  </si>
  <si>
    <t>Number</t>
  </si>
  <si>
    <t>Male</t>
  </si>
  <si>
    <t>Female</t>
  </si>
  <si>
    <t>0-4</t>
  </si>
  <si>
    <t>5-15</t>
  </si>
  <si>
    <t>16-24</t>
  </si>
  <si>
    <t>60-74</t>
  </si>
  <si>
    <t>Pensionable Age</t>
  </si>
  <si>
    <t>Working Age (16 to Pensionable Age)</t>
  </si>
  <si>
    <t>SELECT WARD</t>
  </si>
  <si>
    <t>Total residents</t>
  </si>
  <si>
    <t>Residents in a household</t>
  </si>
  <si>
    <t>Residents in Households</t>
  </si>
  <si>
    <t>Residents in Communal Establishments</t>
  </si>
  <si>
    <t>Residents in a communal establishment</t>
  </si>
  <si>
    <t>Age 5 to 15</t>
  </si>
  <si>
    <t>Age 16 to 24</t>
  </si>
  <si>
    <t>Age 60 to 74</t>
  </si>
  <si>
    <t>Age 75+</t>
  </si>
  <si>
    <t>Working Age</t>
  </si>
  <si>
    <t>Total</t>
  </si>
  <si>
    <t>Age 25 to 44</t>
  </si>
  <si>
    <t>NS-SeC</t>
  </si>
  <si>
    <t>Qualification</t>
  </si>
  <si>
    <t xml:space="preserve"> &amp; Students</t>
  </si>
  <si>
    <t>N/A</t>
  </si>
  <si>
    <t xml:space="preserve">Health and </t>
  </si>
  <si>
    <t xml:space="preserve">Lone Parent </t>
  </si>
  <si>
    <t xml:space="preserve">Households with </t>
  </si>
  <si>
    <t xml:space="preserve">Dependent </t>
  </si>
  <si>
    <t>Children</t>
  </si>
  <si>
    <t xml:space="preserve">Provision of </t>
  </si>
  <si>
    <t>Unpaid Care</t>
  </si>
  <si>
    <t>Male lone parent:Total</t>
  </si>
  <si>
    <t>Male lone parent: Total</t>
  </si>
  <si>
    <t>25-44</t>
  </si>
  <si>
    <t>75+</t>
  </si>
  <si>
    <t>45-59</t>
  </si>
  <si>
    <t>Count of Household; All households</t>
  </si>
  <si>
    <t xml:space="preserve">Adults Not in </t>
  </si>
  <si>
    <t>Employment</t>
  </si>
  <si>
    <t xml:space="preserve">Rooms, Bedrooms </t>
  </si>
  <si>
    <t>and Central Heating</t>
  </si>
  <si>
    <t xml:space="preserve">Communal </t>
  </si>
  <si>
    <t>Establishments</t>
  </si>
  <si>
    <t xml:space="preserve">Living </t>
  </si>
  <si>
    <t>Arrangements</t>
  </si>
  <si>
    <t xml:space="preserve">Household </t>
  </si>
  <si>
    <t>Composition</t>
  </si>
  <si>
    <t>Language</t>
  </si>
  <si>
    <t xml:space="preserve">Usual Resident </t>
  </si>
  <si>
    <t>Population</t>
  </si>
  <si>
    <t>Central Ward</t>
  </si>
  <si>
    <t>Cudworth Ward</t>
  </si>
  <si>
    <t>Darfield Ward</t>
  </si>
  <si>
    <t>Darton East Ward</t>
  </si>
  <si>
    <t>Darton West Ward</t>
  </si>
  <si>
    <t>Dearne North Ward</t>
  </si>
  <si>
    <t>Dearne South Ward</t>
  </si>
  <si>
    <t>Dodworth Ward</t>
  </si>
  <si>
    <t>Hoyland Milton Ward</t>
  </si>
  <si>
    <t>Kingstone Ward</t>
  </si>
  <si>
    <t>Monk Bretton Ward</t>
  </si>
  <si>
    <t>North East Ward</t>
  </si>
  <si>
    <t>Worsbrough Ward</t>
  </si>
  <si>
    <t>Old Town Ward</t>
  </si>
  <si>
    <t>Penistone East Ward</t>
  </si>
  <si>
    <t>Penistone West Ward</t>
  </si>
  <si>
    <t>Rockingham Ward</t>
  </si>
  <si>
    <t>Royston Ward</t>
  </si>
  <si>
    <t>St Helens Ward</t>
  </si>
  <si>
    <t>Stairfoot Ward</t>
  </si>
  <si>
    <t>Wombwell Ward</t>
  </si>
  <si>
    <t>All categories: Method of travel to work</t>
  </si>
  <si>
    <t>Work mainly at or from home</t>
  </si>
  <si>
    <t>Underground, metro, light rail, tram</t>
  </si>
  <si>
    <t>Train</t>
  </si>
  <si>
    <t>Bus, minibus or coach</t>
  </si>
  <si>
    <t>Taxi</t>
  </si>
  <si>
    <t>Motorcycle, scooter or moped</t>
  </si>
  <si>
    <t>Driving a car or van</t>
  </si>
  <si>
    <t>Passenger in a car or van</t>
  </si>
  <si>
    <t>Bicycle</t>
  </si>
  <si>
    <t>On foot</t>
  </si>
  <si>
    <t>Other method of travel to work</t>
  </si>
  <si>
    <t>Not in employment</t>
  </si>
  <si>
    <t>Travel to Work</t>
  </si>
  <si>
    <t>Notes</t>
  </si>
  <si>
    <t>Level 1 qualifications: 1-4 O Levels/CSE/GCSEs (any grades), Entry Level, Foundation Diploma, NVQ level 1, Foundation GNVQ, Basic/Essential Skills</t>
  </si>
  <si>
    <t>Level 2 qualifications: 5+ O Level (Passes)/CSEs (Grade 1)/GCSEs (Grades A*-C), School Certificate, 1 A Level/ 2-3 AS Levels/VCEs, Intermediate/Higher Diploma, Welsh Baccalaureate Intermediate Diploma, NVQ level 2, Intermediate GNVQ, City and Guilds Craft, BTEC First/General Diploma, RSA Diploma</t>
  </si>
  <si>
    <t>Level 3 qualifications: 2+ A Levels/VCEs, 4+ AS Levels, Higher School Certificate, Progression/Advanced Diploma, Welsh Baccalaureate Advanced Diploma, NVQ Level 3; Advanced GNVQ, City and Guilds Advanced Craft, ONC, OND, BTEC National, RSA Advanced Diploma</t>
  </si>
  <si>
    <t>Level 4+ qualifications: Degree (for example BA, BSc), Higher Degree (for example MA, PhD, PGCE), NVQ Level 4-5, HNC, HND, RSA Higher Diploma, BTEC Higher level, Foundation degree (NI), Professional qualifications (for example teaching, nursing, accountancy)</t>
  </si>
  <si>
    <t>Other qualifications: Vocational/Work-related Qualifications, Foreign Qualifications (Not stated/ level unknown).</t>
  </si>
  <si>
    <t>A dwelling is a unit of accommodation in which all rooms - including the kitchen, bathroom and toilet - are behind a door that only that household can use.
A dwelling may comprise one or more household spaces (the accommodation used or available for use by an individual household).
A dwelling may be classified as shared or unshared. A dwelling is shared if:
• the household spaces it contains have the accommodation type ‘part of a converted or shared house’
• not all of the rooms (including kitchen, bathroom and toilet, if any) are behind a door that only that household can use, and
• there is at least one other such household space at the same address with which it can be combined to form the shared dwelling.
Dwellings that do not meet these conditions are unshared dwellings.</t>
  </si>
  <si>
    <t>Marital and civil partnership states include married/in a registered same-sex civil partnership, separated (but still legally married/in a registered same-sex civil partnership), divorced/formerly in a registered same-sex civil partnership or widowed/surviving same-sex civil partner.
Although the term 'single' is widely used to cover people in a number of states such as divorced or separated it is not a legally recognised status and was not an option on the census questionnaire.
In census results the term 'single' is used to refer only to someone who has never been married or in a registered same-sex civil partnership, which were options on the census questionnaire.</t>
  </si>
  <si>
    <t>General health</t>
  </si>
  <si>
    <t>General health is a self-assessment of a person’s general state of health. People were asked to assess whether their health was very good, good, fair, bad or very bad. This assessment is not based on a person's health over any specified period of time.</t>
  </si>
  <si>
    <t>Long-term health problem or disability</t>
  </si>
  <si>
    <t>A long-term health problem or disability that limits a person's day-to-day activities, and has lasted, or is expected to last, at least 12 months.
This includes problems that are related to old age. People were asked to assess whether their daily activities were limited a lot or a little by such a health problem, or whether their daily activities were not limited at all.</t>
  </si>
  <si>
    <t>Provision of unpaid care</t>
  </si>
  <si>
    <t>A person is a provider of unpaid care if they look after or give help or support to family members, friends, neighbours or others because of long-term physical or mental ill health or disability, or problems related to old age. This does not include any activities as part of paid employment.
No distinction is made about whether any care that a person provides is within their own household or outside of the household, so no explicit link can be made about whether the care provided is for a person within the household who has poor general health or a long-term health problem 
or disability.</t>
  </si>
  <si>
    <t>Usual resident</t>
  </si>
  <si>
    <t>The main population base for outputs from the 2011 Census is the usual resident population as at
census day 27 March 2011. Although the population base for enumeration included non-UK short-term residents, this population is analysed separately and is not included in the main outputs from the 2011 Census. All outputs, unless specified, are produced using only usual residents of the UK. 
For 2011 Census purposes, a usual resident of the UK is anyone who, on census day, was in the UK and had stayed or intended to stay in the UK for a period of 12 months or more, or had a permanent UK address and was outside the UK and intended to be outside the UK for less than 12 months.</t>
  </si>
  <si>
    <t>Occupancy rating</t>
  </si>
  <si>
    <t>Occupancy rating provides a measure of whether a household's accommodation is overcrowded or under occupied. There are two measures of occupancy rating, one based on the number of rooms in a household's accommodation, and one based on the number of bedrooms. The ages of the household members and their relationships to each other are used to derive the number of rooms/bedrooms they require, based on a standard formula. The number of rooms/bedrooms required is subtracted from the number of rooms/bedrooms in the household's accommodation to obtain the occupancy rating. An occupancy rating of -1 implies that a household has one fewer room/bedroom than required, whereas +1 implies that they have one more room/bedroom than the standard requirement.</t>
  </si>
  <si>
    <t>5 to 24</t>
  </si>
  <si>
    <t>60+</t>
  </si>
  <si>
    <t>Notes:</t>
  </si>
  <si>
    <t xml:space="preserve">Economic </t>
  </si>
  <si>
    <t>Activity</t>
  </si>
  <si>
    <t xml:space="preserve">Lone Parent Households with </t>
  </si>
  <si>
    <t>Dependent Children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</si>
</sst>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x14ac:knownFonts="1">
    <font>
      <sz val="10"/>
      <name val="Arial"/>
    </font>
    <font>
      <sz val="8"/>
      <name val="Arial"/>
      <family val="2"/>
    </font>
    <font>
      <sz val="10"/>
      <name val="Arial"/>
      <family val="2"/>
    </font>
    <font>
      <b/>
      <sz val="14"/>
      <name val="Arial"/>
      <family val="2"/>
    </font>
    <font>
      <sz val="12"/>
      <name val="Times New Roman"/>
      <family val="1"/>
    </font>
    <font>
      <sz val="14"/>
      <name val="Arial"/>
      <family val="2"/>
    </font>
    <font>
      <b/>
      <sz val="9.5"/>
      <name val="Arial"/>
      <family val="2"/>
    </font>
    <font>
      <b/>
      <sz val="10"/>
      <name val="Arial"/>
      <family val="2"/>
    </font>
    <font>
      <sz val="9.5"/>
      <name val="Arial"/>
      <family val="2"/>
    </font>
    <font>
      <sz val="10"/>
      <name val="Arial"/>
      <family val="2"/>
    </font>
    <font>
      <sz val="10"/>
      <color indexed="8"/>
      <name val="Arial"/>
      <family val="2"/>
    </font>
    <font>
      <b/>
      <sz val="10"/>
      <color indexed="8"/>
      <name val="Arial"/>
      <family val="2"/>
    </font>
    <font>
      <sz val="10"/>
      <name val="Arial"/>
    </font>
    <font>
      <b/>
      <sz val="10"/>
      <name val="Arial"/>
    </font>
    <font>
      <sz val="11"/>
      <name val="Arial"/>
      <family val="2"/>
    </font>
    <font>
      <sz val="8"/>
      <name val="Arial"/>
    </font>
    <font>
      <b/>
      <sz val="20"/>
      <color indexed="8"/>
      <name val="Arial"/>
      <family val="2"/>
    </font>
    <font>
      <b/>
      <sz val="14"/>
      <color indexed="10"/>
      <name val="Arial"/>
      <family val="2"/>
    </font>
    <font>
      <sz val="14"/>
      <color indexed="10"/>
      <name val="Arial"/>
      <family val="2"/>
    </font>
  </fonts>
  <fills count="5">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right style="dashed">
        <color indexed="64"/>
      </right>
      <top style="dashed">
        <color indexed="64"/>
      </top>
      <bottom style="dashed">
        <color indexed="64"/>
      </bottom>
      <diagonal/>
    </border>
    <border>
      <left/>
      <right style="dotted">
        <color indexed="64"/>
      </right>
      <top/>
      <bottom style="dotted">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tted">
        <color indexed="64"/>
      </right>
      <top/>
      <bottom/>
      <diagonal/>
    </border>
  </borders>
  <cellStyleXfs count="4">
    <xf numFmtId="0" fontId="0" fillId="0" borderId="0"/>
    <xf numFmtId="0" fontId="9" fillId="0" borderId="0"/>
    <xf numFmtId="0" fontId="4" fillId="0" borderId="0"/>
    <xf numFmtId="0" fontId="9" fillId="0" borderId="0"/>
  </cellStyleXfs>
  <cellXfs count="218">
    <xf numFmtId="0" fontId="0" fillId="0" borderId="0" xfId="0"/>
    <xf numFmtId="3" fontId="0" fillId="0" borderId="0" xfId="0" applyNumberFormat="1" applyAlignment="1">
      <alignment horizontal="right" vertical="center"/>
    </xf>
    <xf numFmtId="164" fontId="0" fillId="0" borderId="0" xfId="0" applyNumberFormat="1" applyAlignment="1">
      <alignment horizontal="right" vertical="center"/>
    </xf>
    <xf numFmtId="0" fontId="2" fillId="0" borderId="0" xfId="0" applyFont="1" applyAlignment="1">
      <alignment vertical="top" wrapText="1"/>
    </xf>
    <xf numFmtId="0" fontId="2" fillId="0" borderId="0" xfId="3" applyFont="1" applyAlignment="1">
      <alignment horizontal="left" vertical="top" wrapText="1"/>
    </xf>
    <xf numFmtId="0" fontId="2" fillId="0" borderId="0" xfId="0" applyFont="1"/>
    <xf numFmtId="3" fontId="2" fillId="0" borderId="0" xfId="0" applyNumberFormat="1" applyFont="1" applyAlignment="1">
      <alignment horizontal="right" vertical="center"/>
    </xf>
    <xf numFmtId="164" fontId="2" fillId="0" borderId="0" xfId="0" applyNumberFormat="1" applyFont="1" applyAlignment="1">
      <alignment horizontal="right" vertical="center"/>
    </xf>
    <xf numFmtId="0" fontId="2" fillId="0" borderId="0" xfId="0" applyFont="1" applyAlignment="1">
      <alignment horizontal="right" vertical="center"/>
    </xf>
    <xf numFmtId="0" fontId="2" fillId="0" borderId="0" xfId="3" applyFont="1" applyAlignment="1">
      <alignment horizontal="left" vertical="center"/>
    </xf>
    <xf numFmtId="0" fontId="2" fillId="2" borderId="0" xfId="0" applyFont="1" applyFill="1"/>
    <xf numFmtId="3" fontId="0" fillId="2" borderId="0" xfId="0" applyNumberFormat="1" applyFill="1" applyAlignment="1">
      <alignment horizontal="right" vertical="center"/>
    </xf>
    <xf numFmtId="164" fontId="0" fillId="2" borderId="0" xfId="0" applyNumberFormat="1" applyFill="1" applyAlignment="1">
      <alignment horizontal="right" vertical="center"/>
    </xf>
    <xf numFmtId="4" fontId="0" fillId="0" borderId="0" xfId="0" applyNumberFormat="1" applyAlignment="1">
      <alignment horizontal="right" vertical="center"/>
    </xf>
    <xf numFmtId="0" fontId="2" fillId="0" borderId="0" xfId="1" applyFont="1" applyAlignment="1">
      <alignment vertical="top" wrapText="1"/>
    </xf>
    <xf numFmtId="0" fontId="2" fillId="0" borderId="0" xfId="1" applyFont="1" applyAlignment="1">
      <alignment vertical="center" wrapText="1"/>
    </xf>
    <xf numFmtId="0" fontId="2" fillId="0" borderId="0" xfId="0" applyFont="1" applyAlignment="1"/>
    <xf numFmtId="0" fontId="9" fillId="2" borderId="0" xfId="1" applyFill="1" applyAlignment="1">
      <alignment vertical="center" wrapText="1"/>
    </xf>
    <xf numFmtId="0" fontId="9" fillId="0" borderId="0" xfId="1" applyAlignment="1">
      <alignment vertical="center" wrapText="1"/>
    </xf>
    <xf numFmtId="0" fontId="2" fillId="0" borderId="1" xfId="0" applyFont="1" applyBorder="1" applyAlignment="1">
      <alignment horizontal="center" vertical="center"/>
    </xf>
    <xf numFmtId="3" fontId="2" fillId="0" borderId="0" xfId="0" applyNumberFormat="1" applyFont="1"/>
    <xf numFmtId="4" fontId="2" fillId="0" borderId="0" xfId="0" applyNumberFormat="1" applyFont="1"/>
    <xf numFmtId="4" fontId="2" fillId="0" borderId="1" xfId="0" applyNumberFormat="1" applyFont="1" applyBorder="1" applyAlignment="1">
      <alignment horizontal="center" vertical="center"/>
    </xf>
    <xf numFmtId="1" fontId="2" fillId="0" borderId="0" xfId="0" applyNumberFormat="1" applyFont="1" applyAlignment="1">
      <alignment horizontal="right" vertical="center"/>
    </xf>
    <xf numFmtId="165" fontId="2" fillId="0" borderId="0" xfId="0" applyNumberFormat="1" applyFont="1" applyAlignment="1">
      <alignment horizontal="right" vertical="center"/>
    </xf>
    <xf numFmtId="0" fontId="2" fillId="3" borderId="0" xfId="0" applyFont="1" applyFill="1"/>
    <xf numFmtId="0" fontId="7" fillId="0" borderId="0" xfId="0" applyFont="1" applyAlignment="1">
      <alignment horizontal="left" vertical="top" wrapText="1"/>
    </xf>
    <xf numFmtId="0" fontId="7" fillId="3" borderId="2"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6" fillId="3" borderId="2" xfId="2" applyFont="1" applyFill="1" applyBorder="1" applyAlignment="1">
      <alignment horizontal="left" vertical="top" wrapText="1"/>
    </xf>
    <xf numFmtId="0" fontId="6" fillId="3" borderId="3" xfId="2" applyFont="1" applyFill="1" applyBorder="1" applyAlignment="1">
      <alignment horizontal="left" vertical="top" wrapText="1"/>
    </xf>
    <xf numFmtId="0" fontId="7" fillId="3" borderId="2" xfId="0" applyFont="1" applyFill="1" applyBorder="1" applyAlignment="1">
      <alignment vertical="top" wrapText="1"/>
    </xf>
    <xf numFmtId="0" fontId="6" fillId="3" borderId="1" xfId="2" applyFont="1" applyFill="1" applyBorder="1" applyAlignment="1">
      <alignment horizontal="centerContinuous" vertical="top" wrapText="1"/>
    </xf>
    <xf numFmtId="0" fontId="7" fillId="3" borderId="1" xfId="0" applyFont="1" applyFill="1" applyBorder="1" applyAlignment="1">
      <alignment horizontal="centerContinuous" vertical="top" wrapText="1"/>
    </xf>
    <xf numFmtId="4" fontId="7" fillId="3" borderId="1" xfId="0" applyNumberFormat="1" applyFont="1" applyFill="1" applyBorder="1" applyAlignment="1">
      <alignment horizontal="centerContinuous" vertical="top" wrapText="1"/>
    </xf>
    <xf numFmtId="0" fontId="7" fillId="0" borderId="0" xfId="0" applyFont="1" applyAlignment="1">
      <alignment horizontal="centerContinuous" vertical="top" wrapText="1"/>
    </xf>
    <xf numFmtId="164" fontId="2" fillId="0" borderId="0" xfId="0" applyNumberFormat="1" applyFont="1"/>
    <xf numFmtId="0" fontId="7" fillId="0" borderId="0" xfId="0" applyFont="1" applyAlignment="1">
      <alignment vertical="top" wrapText="1"/>
    </xf>
    <xf numFmtId="0" fontId="7" fillId="0" borderId="0" xfId="1" applyFont="1" applyAlignment="1">
      <alignment vertical="center" wrapText="1"/>
    </xf>
    <xf numFmtId="0" fontId="7" fillId="0" borderId="0" xfId="0" applyFont="1" applyAlignment="1"/>
    <xf numFmtId="0" fontId="7" fillId="0" borderId="0" xfId="0" applyFont="1"/>
    <xf numFmtId="0" fontId="2" fillId="2" borderId="0" xfId="0" applyFont="1" applyFill="1" applyAlignment="1"/>
    <xf numFmtId="0" fontId="7" fillId="2" borderId="0" xfId="0" applyFont="1" applyFill="1" applyAlignment="1"/>
    <xf numFmtId="0" fontId="7" fillId="0" borderId="0" xfId="1" applyFont="1" applyFill="1" applyAlignment="1">
      <alignment vertical="center" wrapText="1"/>
    </xf>
    <xf numFmtId="165" fontId="2" fillId="2" borderId="0" xfId="0" applyNumberFormat="1" applyFont="1" applyFill="1"/>
    <xf numFmtId="0" fontId="0" fillId="3" borderId="5" xfId="0" applyFill="1" applyBorder="1" applyAlignment="1"/>
    <xf numFmtId="3" fontId="2" fillId="0" borderId="0" xfId="0" applyNumberFormat="1" applyFont="1" applyAlignment="1">
      <alignment horizontal="right"/>
    </xf>
    <xf numFmtId="0" fontId="10" fillId="0" borderId="0" xfId="0" applyFont="1"/>
    <xf numFmtId="0" fontId="11" fillId="3" borderId="1" xfId="0" applyFont="1" applyFill="1" applyBorder="1" applyAlignment="1">
      <alignment horizontal="centerContinuous" vertical="top" wrapText="1"/>
    </xf>
    <xf numFmtId="0" fontId="10" fillId="0" borderId="1" xfId="0" applyFont="1" applyBorder="1" applyAlignment="1">
      <alignment horizontal="center" vertical="center"/>
    </xf>
    <xf numFmtId="0" fontId="6" fillId="0" borderId="1" xfId="2" applyFont="1" applyBorder="1" applyAlignment="1">
      <alignment horizontal="left" vertical="top" wrapText="1"/>
    </xf>
    <xf numFmtId="0" fontId="6" fillId="0" borderId="1" xfId="2" applyFont="1" applyBorder="1" applyAlignment="1">
      <alignment horizontal="left"/>
    </xf>
    <xf numFmtId="3" fontId="10" fillId="0" borderId="0" xfId="0" applyNumberFormat="1" applyFont="1"/>
    <xf numFmtId="165" fontId="10" fillId="0" borderId="6" xfId="0" applyNumberFormat="1" applyFont="1" applyFill="1" applyBorder="1" applyAlignment="1">
      <alignment horizontal="right"/>
    </xf>
    <xf numFmtId="4" fontId="10" fillId="0" borderId="0" xfId="0" applyNumberFormat="1" applyFont="1"/>
    <xf numFmtId="165" fontId="11" fillId="0" borderId="7" xfId="0" applyNumberFormat="1" applyFont="1" applyFill="1" applyBorder="1" applyAlignment="1">
      <alignment horizontal="right" vertical="top" wrapText="1"/>
    </xf>
    <xf numFmtId="4" fontId="11" fillId="3" borderId="1" xfId="0" applyNumberFormat="1" applyFont="1" applyFill="1" applyBorder="1" applyAlignment="1">
      <alignment horizontal="centerContinuous" vertical="top" wrapText="1"/>
    </xf>
    <xf numFmtId="165" fontId="10" fillId="0" borderId="8" xfId="0" applyNumberFormat="1" applyFont="1" applyFill="1" applyBorder="1" applyAlignment="1">
      <alignment horizontal="center" vertical="center"/>
    </xf>
    <xf numFmtId="165" fontId="10" fillId="0" borderId="9" xfId="0" applyNumberFormat="1" applyFont="1" applyFill="1" applyBorder="1" applyAlignment="1">
      <alignment horizontal="right"/>
    </xf>
    <xf numFmtId="165" fontId="10" fillId="0" borderId="10" xfId="0" applyNumberFormat="1" applyFont="1" applyFill="1" applyBorder="1" applyAlignment="1">
      <alignment horizontal="right"/>
    </xf>
    <xf numFmtId="165" fontId="10" fillId="0" borderId="7" xfId="0" applyNumberFormat="1" applyFont="1" applyFill="1" applyBorder="1" applyAlignment="1">
      <alignment horizontal="right"/>
    </xf>
    <xf numFmtId="0" fontId="2" fillId="0" borderId="11" xfId="0" applyFont="1" applyBorder="1"/>
    <xf numFmtId="3" fontId="2" fillId="0" borderId="11" xfId="0" applyNumberFormat="1" applyFont="1" applyBorder="1" applyAlignment="1">
      <alignment horizontal="right"/>
    </xf>
    <xf numFmtId="3" fontId="2" fillId="0" borderId="11" xfId="0" applyNumberFormat="1" applyFont="1" applyBorder="1"/>
    <xf numFmtId="164" fontId="10" fillId="0" borderId="12" xfId="0" applyNumberFormat="1" applyFont="1" applyBorder="1" applyAlignment="1">
      <alignment horizontal="right"/>
    </xf>
    <xf numFmtId="0" fontId="2" fillId="0" borderId="0" xfId="0" applyFont="1" applyBorder="1"/>
    <xf numFmtId="3" fontId="2" fillId="0" borderId="0" xfId="0" applyNumberFormat="1" applyFont="1" applyBorder="1" applyAlignment="1">
      <alignment horizontal="right"/>
    </xf>
    <xf numFmtId="3" fontId="2" fillId="0" borderId="0" xfId="0" applyNumberFormat="1" applyFont="1" applyBorder="1"/>
    <xf numFmtId="164" fontId="10" fillId="0" borderId="13" xfId="0" applyNumberFormat="1" applyFont="1" applyBorder="1" applyAlignment="1">
      <alignment horizontal="right"/>
    </xf>
    <xf numFmtId="0" fontId="2" fillId="0" borderId="14" xfId="0" applyFont="1" applyBorder="1"/>
    <xf numFmtId="3" fontId="2" fillId="0" borderId="14" xfId="0" applyNumberFormat="1" applyFont="1" applyBorder="1" applyAlignment="1">
      <alignment horizontal="right"/>
    </xf>
    <xf numFmtId="3" fontId="2" fillId="0" borderId="14" xfId="0" applyNumberFormat="1" applyFont="1" applyBorder="1"/>
    <xf numFmtId="164" fontId="10" fillId="0" borderId="15" xfId="0" applyNumberFormat="1" applyFont="1" applyBorder="1" applyAlignment="1">
      <alignment horizontal="right"/>
    </xf>
    <xf numFmtId="3" fontId="10" fillId="0" borderId="11" xfId="0" applyNumberFormat="1" applyFont="1" applyBorder="1"/>
    <xf numFmtId="3" fontId="10" fillId="0" borderId="0" xfId="0" applyNumberFormat="1" applyFont="1" applyBorder="1"/>
    <xf numFmtId="3" fontId="10" fillId="0" borderId="14" xfId="0" applyNumberFormat="1" applyFont="1" applyBorder="1"/>
    <xf numFmtId="164" fontId="10" fillId="0" borderId="0" xfId="0" applyNumberFormat="1" applyFont="1" applyBorder="1"/>
    <xf numFmtId="0" fontId="5" fillId="3" borderId="5" xfId="2" applyFont="1" applyFill="1" applyBorder="1"/>
    <xf numFmtId="0" fontId="6" fillId="3" borderId="5" xfId="2" applyFont="1" applyFill="1" applyBorder="1" applyAlignment="1">
      <alignment horizontal="centerContinuous" vertical="top" wrapText="1"/>
    </xf>
    <xf numFmtId="0" fontId="6" fillId="0" borderId="5" xfId="2" applyFont="1" applyBorder="1"/>
    <xf numFmtId="0" fontId="2" fillId="0" borderId="12" xfId="0" applyFont="1" applyBorder="1"/>
    <xf numFmtId="0" fontId="2" fillId="0" borderId="13" xfId="0" applyFont="1" applyBorder="1"/>
    <xf numFmtId="0" fontId="2" fillId="0" borderId="13" xfId="0" applyFont="1" applyFill="1" applyBorder="1"/>
    <xf numFmtId="0" fontId="9" fillId="0" borderId="13" xfId="1" applyBorder="1" applyAlignment="1">
      <alignment vertical="center" wrapText="1"/>
    </xf>
    <xf numFmtId="0" fontId="9" fillId="0" borderId="15" xfId="1" applyBorder="1" applyAlignment="1">
      <alignment vertical="center" wrapText="1"/>
    </xf>
    <xf numFmtId="0" fontId="8" fillId="0" borderId="12" xfId="2" applyFont="1" applyBorder="1" applyAlignment="1">
      <alignment vertical="top" wrapText="1"/>
    </xf>
    <xf numFmtId="49" fontId="8" fillId="0" borderId="13" xfId="2" applyNumberFormat="1" applyFont="1" applyBorder="1" applyAlignment="1">
      <alignment vertical="top" wrapText="1"/>
    </xf>
    <xf numFmtId="0" fontId="8" fillId="0" borderId="13" xfId="2" applyFont="1" applyBorder="1" applyAlignment="1">
      <alignment vertical="top" wrapText="1"/>
    </xf>
    <xf numFmtId="0" fontId="2" fillId="0" borderId="13" xfId="0" applyFont="1" applyBorder="1" applyAlignment="1"/>
    <xf numFmtId="0" fontId="8" fillId="0" borderId="13" xfId="2" applyFont="1" applyFill="1" applyBorder="1" applyAlignment="1">
      <alignment vertical="top" wrapText="1"/>
    </xf>
    <xf numFmtId="0" fontId="2" fillId="0" borderId="13" xfId="0" applyFont="1" applyBorder="1" applyAlignment="1">
      <alignment vertical="top" wrapText="1"/>
    </xf>
    <xf numFmtId="0" fontId="2" fillId="0" borderId="15" xfId="0" applyFont="1" applyBorder="1" applyAlignment="1">
      <alignment vertical="top" wrapText="1"/>
    </xf>
    <xf numFmtId="0" fontId="2" fillId="0" borderId="12" xfId="0" applyFont="1" applyBorder="1" applyAlignment="1">
      <alignment vertical="top" wrapText="1"/>
    </xf>
    <xf numFmtId="0" fontId="2" fillId="0" borderId="5" xfId="0" applyFont="1" applyBorder="1" applyAlignment="1">
      <alignment horizontal="center" vertical="center"/>
    </xf>
    <xf numFmtId="165" fontId="2" fillId="0" borderId="12" xfId="0" applyNumberFormat="1" applyFont="1" applyBorder="1" applyAlignment="1">
      <alignment horizontal="right"/>
    </xf>
    <xf numFmtId="165" fontId="2" fillId="0" borderId="13" xfId="0" applyNumberFormat="1" applyFont="1" applyBorder="1" applyAlignment="1">
      <alignment horizontal="right"/>
    </xf>
    <xf numFmtId="165" fontId="2" fillId="0" borderId="15" xfId="0" applyNumberFormat="1" applyFont="1" applyBorder="1" applyAlignment="1">
      <alignment horizontal="right"/>
    </xf>
    <xf numFmtId="0" fontId="7" fillId="3" borderId="5" xfId="0" applyFont="1" applyFill="1" applyBorder="1" applyAlignment="1">
      <alignment horizontal="centerContinuous" vertical="top" wrapText="1"/>
    </xf>
    <xf numFmtId="165" fontId="10" fillId="0" borderId="12" xfId="0" applyNumberFormat="1" applyFont="1" applyBorder="1" applyAlignment="1">
      <alignment horizontal="right"/>
    </xf>
    <xf numFmtId="165" fontId="10" fillId="0" borderId="13" xfId="0" applyNumberFormat="1" applyFont="1" applyBorder="1" applyAlignment="1">
      <alignment horizontal="right"/>
    </xf>
    <xf numFmtId="165" fontId="10" fillId="0" borderId="15" xfId="0" applyNumberFormat="1" applyFont="1" applyBorder="1" applyAlignment="1">
      <alignment horizontal="right"/>
    </xf>
    <xf numFmtId="4" fontId="10" fillId="0" borderId="5" xfId="0" applyNumberFormat="1" applyFont="1" applyBorder="1" applyAlignment="1">
      <alignment horizontal="center" vertical="center"/>
    </xf>
    <xf numFmtId="0" fontId="7" fillId="0" borderId="16" xfId="0" applyFont="1" applyFill="1" applyBorder="1" applyAlignment="1">
      <alignment horizontal="left" vertical="top" wrapText="1"/>
    </xf>
    <xf numFmtId="0" fontId="7" fillId="0" borderId="16" xfId="0" applyFont="1" applyBorder="1" applyAlignment="1">
      <alignment horizontal="left" vertical="top" wrapText="1"/>
    </xf>
    <xf numFmtId="164" fontId="2" fillId="0" borderId="0" xfId="0" applyNumberFormat="1" applyFont="1" applyBorder="1" applyAlignment="1">
      <alignment horizontal="right"/>
    </xf>
    <xf numFmtId="164" fontId="2" fillId="0" borderId="14" xfId="0" applyNumberFormat="1" applyFont="1" applyBorder="1" applyAlignment="1">
      <alignment horizontal="right"/>
    </xf>
    <xf numFmtId="164" fontId="2" fillId="0" borderId="0" xfId="0" applyNumberFormat="1" applyFont="1" applyBorder="1"/>
    <xf numFmtId="164" fontId="2" fillId="0" borderId="14" xfId="0" applyNumberFormat="1" applyFont="1" applyBorder="1"/>
    <xf numFmtId="3" fontId="10" fillId="0" borderId="11" xfId="0" applyNumberFormat="1" applyFont="1" applyBorder="1" applyAlignment="1">
      <alignment horizontal="right"/>
    </xf>
    <xf numFmtId="3" fontId="10" fillId="0" borderId="0" xfId="0" applyNumberFormat="1" applyFont="1" applyBorder="1" applyAlignment="1">
      <alignment horizontal="right"/>
    </xf>
    <xf numFmtId="164" fontId="10" fillId="0" borderId="0" xfId="0" applyNumberFormat="1" applyFont="1" applyBorder="1" applyAlignment="1">
      <alignment horizontal="right"/>
    </xf>
    <xf numFmtId="164" fontId="10" fillId="0" borderId="14" xfId="0" applyNumberFormat="1" applyFont="1" applyBorder="1" applyAlignment="1">
      <alignment horizontal="right"/>
    </xf>
    <xf numFmtId="0" fontId="13" fillId="0" borderId="0" xfId="1" applyFont="1" applyAlignment="1">
      <alignment horizontal="center" vertical="center" wrapText="1"/>
    </xf>
    <xf numFmtId="0" fontId="2" fillId="0" borderId="0" xfId="1" applyFont="1" applyFill="1" applyAlignment="1">
      <alignment vertical="center" wrapText="1"/>
    </xf>
    <xf numFmtId="0" fontId="0" fillId="0" borderId="0" xfId="0" applyFill="1"/>
    <xf numFmtId="3" fontId="0" fillId="0" borderId="0" xfId="0" applyNumberFormat="1" applyFill="1" applyAlignment="1">
      <alignment horizontal="right" vertical="center"/>
    </xf>
    <xf numFmtId="164" fontId="0" fillId="0" borderId="0" xfId="0" applyNumberFormat="1" applyFill="1" applyAlignment="1">
      <alignment horizontal="right" vertical="center"/>
    </xf>
    <xf numFmtId="165" fontId="7" fillId="0" borderId="0" xfId="0" applyNumberFormat="1" applyFont="1" applyFill="1"/>
    <xf numFmtId="165" fontId="2" fillId="0" borderId="0" xfId="0" applyNumberFormat="1" applyFont="1" applyFill="1"/>
    <xf numFmtId="0" fontId="2" fillId="0" borderId="0" xfId="0" applyFont="1" applyFill="1"/>
    <xf numFmtId="3" fontId="7" fillId="0" borderId="0" xfId="0" applyNumberFormat="1" applyFont="1" applyFill="1" applyAlignment="1">
      <alignment horizontal="right" vertical="center"/>
    </xf>
    <xf numFmtId="164" fontId="7" fillId="0" borderId="0" xfId="0" applyNumberFormat="1" applyFont="1" applyFill="1" applyAlignment="1">
      <alignment horizontal="right" vertical="center"/>
    </xf>
    <xf numFmtId="0" fontId="7" fillId="3" borderId="17" xfId="0" applyFont="1" applyFill="1" applyBorder="1" applyAlignment="1">
      <alignment horizontal="left" vertical="top" wrapText="1"/>
    </xf>
    <xf numFmtId="3" fontId="2" fillId="0" borderId="12" xfId="0" applyNumberFormat="1" applyFont="1" applyBorder="1"/>
    <xf numFmtId="0" fontId="7" fillId="3" borderId="16" xfId="0" applyFont="1" applyFill="1" applyBorder="1" applyAlignment="1">
      <alignment horizontal="left" vertical="top" wrapText="1"/>
    </xf>
    <xf numFmtId="165" fontId="2" fillId="0" borderId="0" xfId="0" applyNumberFormat="1" applyFont="1" applyBorder="1"/>
    <xf numFmtId="0" fontId="7" fillId="3" borderId="18" xfId="0" applyFont="1" applyFill="1" applyBorder="1" applyAlignment="1">
      <alignment horizontal="left" vertical="top" wrapText="1"/>
    </xf>
    <xf numFmtId="165" fontId="2" fillId="0" borderId="14" xfId="0" applyNumberFormat="1" applyFont="1" applyBorder="1"/>
    <xf numFmtId="0" fontId="2" fillId="0" borderId="17" xfId="0" applyFont="1" applyBorder="1"/>
    <xf numFmtId="0" fontId="2" fillId="0" borderId="16" xfId="0" applyFont="1" applyBorder="1"/>
    <xf numFmtId="0" fontId="2" fillId="0" borderId="18" xfId="0" applyFont="1" applyBorder="1"/>
    <xf numFmtId="3" fontId="2" fillId="0" borderId="17" xfId="0" applyNumberFormat="1" applyFont="1" applyBorder="1"/>
    <xf numFmtId="3" fontId="2" fillId="0" borderId="16" xfId="0" applyNumberFormat="1" applyFont="1" applyBorder="1"/>
    <xf numFmtId="3" fontId="2" fillId="0" borderId="18" xfId="0" applyNumberFormat="1" applyFont="1" applyBorder="1"/>
    <xf numFmtId="3" fontId="10" fillId="0" borderId="17" xfId="0" applyNumberFormat="1" applyFont="1" applyBorder="1"/>
    <xf numFmtId="3" fontId="10" fillId="0" borderId="16" xfId="0" applyNumberFormat="1" applyFont="1" applyBorder="1"/>
    <xf numFmtId="3" fontId="10" fillId="0" borderId="18" xfId="0" applyNumberFormat="1" applyFont="1" applyBorder="1"/>
    <xf numFmtId="164" fontId="2" fillId="0" borderId="13" xfId="0" applyNumberFormat="1" applyFont="1" applyBorder="1"/>
    <xf numFmtId="164" fontId="2" fillId="0" borderId="15" xfId="0" applyNumberFormat="1" applyFont="1" applyBorder="1"/>
    <xf numFmtId="0" fontId="2" fillId="0" borderId="0" xfId="0" applyFont="1" applyFill="1" applyBorder="1"/>
    <xf numFmtId="0" fontId="2" fillId="0" borderId="0" xfId="0" applyFont="1" applyAlignment="1">
      <alignment wrapText="1"/>
    </xf>
    <xf numFmtId="0" fontId="2" fillId="0" borderId="0" xfId="0" applyNumberFormat="1" applyFont="1" applyAlignment="1">
      <alignment wrapText="1"/>
    </xf>
    <xf numFmtId="0" fontId="7" fillId="0" borderId="0" xfId="0" applyFont="1" applyAlignment="1">
      <alignment wrapText="1"/>
    </xf>
    <xf numFmtId="165" fontId="0" fillId="0" borderId="0" xfId="0" applyNumberFormat="1"/>
    <xf numFmtId="0" fontId="2" fillId="0" borderId="0" xfId="0" applyFont="1" applyAlignment="1">
      <alignment vertical="top"/>
    </xf>
    <xf numFmtId="3" fontId="2" fillId="0" borderId="12" xfId="0" applyNumberFormat="1" applyFont="1" applyBorder="1" applyAlignment="1">
      <alignment horizontal="right"/>
    </xf>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10" fillId="0" borderId="5" xfId="0" applyNumberFormat="1" applyFont="1" applyBorder="1" applyAlignment="1">
      <alignment horizontal="right"/>
    </xf>
    <xf numFmtId="165" fontId="2" fillId="0" borderId="0" xfId="0" applyNumberFormat="1" applyFont="1" applyBorder="1" applyAlignment="1">
      <alignment horizontal="right"/>
    </xf>
    <xf numFmtId="165" fontId="10" fillId="0" borderId="0" xfId="0" applyNumberFormat="1" applyFont="1" applyBorder="1" applyAlignment="1">
      <alignment horizontal="right"/>
    </xf>
    <xf numFmtId="0" fontId="10" fillId="0" borderId="14" xfId="0" applyFont="1" applyBorder="1"/>
    <xf numFmtId="0" fontId="2" fillId="0" borderId="14" xfId="0" applyFont="1" applyBorder="1" applyAlignment="1">
      <alignment vertical="top" wrapText="1"/>
    </xf>
    <xf numFmtId="4" fontId="10" fillId="0" borderId="1" xfId="0" applyNumberFormat="1" applyFont="1" applyBorder="1" applyAlignment="1">
      <alignment horizontal="center" vertical="center"/>
    </xf>
    <xf numFmtId="3" fontId="2" fillId="0" borderId="16" xfId="0" applyNumberFormat="1" applyFont="1" applyBorder="1" applyAlignment="1">
      <alignment horizontal="right"/>
    </xf>
    <xf numFmtId="3" fontId="2" fillId="0" borderId="17" xfId="0" applyNumberFormat="1" applyFont="1" applyBorder="1" applyAlignment="1">
      <alignment horizontal="right"/>
    </xf>
    <xf numFmtId="3" fontId="2" fillId="0" borderId="13" xfId="0" applyNumberFormat="1" applyFont="1" applyBorder="1" applyAlignment="1">
      <alignment horizontal="right"/>
    </xf>
    <xf numFmtId="3" fontId="2" fillId="0" borderId="18" xfId="0" applyNumberFormat="1" applyFont="1" applyBorder="1" applyAlignment="1">
      <alignment horizontal="right"/>
    </xf>
    <xf numFmtId="3" fontId="2" fillId="0" borderId="15" xfId="0" applyNumberFormat="1" applyFont="1" applyBorder="1" applyAlignment="1">
      <alignment horizontal="right"/>
    </xf>
    <xf numFmtId="3" fontId="2" fillId="0" borderId="19" xfId="0" applyNumberFormat="1" applyFont="1" applyBorder="1" applyAlignment="1">
      <alignment horizontal="right"/>
    </xf>
    <xf numFmtId="165" fontId="2" fillId="0" borderId="20" xfId="0" applyNumberFormat="1" applyFont="1" applyBorder="1" applyAlignment="1">
      <alignment horizontal="right"/>
    </xf>
    <xf numFmtId="165" fontId="10" fillId="0" borderId="20" xfId="0" applyNumberFormat="1" applyFont="1" applyBorder="1" applyAlignment="1">
      <alignment horizontal="right"/>
    </xf>
    <xf numFmtId="3" fontId="2" fillId="0" borderId="19" xfId="0" applyNumberFormat="1" applyFont="1" applyBorder="1"/>
    <xf numFmtId="3" fontId="10" fillId="0" borderId="19" xfId="0" applyNumberFormat="1" applyFont="1" applyBorder="1"/>
    <xf numFmtId="0" fontId="7" fillId="0" borderId="19" xfId="0" applyFont="1" applyBorder="1" applyAlignment="1">
      <alignment horizontal="left" vertical="top" wrapText="1"/>
    </xf>
    <xf numFmtId="0" fontId="2" fillId="0" borderId="5" xfId="0" applyFont="1" applyBorder="1" applyAlignment="1">
      <alignment vertical="top" wrapText="1"/>
    </xf>
    <xf numFmtId="0" fontId="2" fillId="0" borderId="20" xfId="0" applyFont="1" applyBorder="1"/>
    <xf numFmtId="164" fontId="2" fillId="0" borderId="11" xfId="0" applyNumberFormat="1" applyFont="1" applyBorder="1" applyAlignment="1">
      <alignment horizontal="right"/>
    </xf>
    <xf numFmtId="164" fontId="2" fillId="0" borderId="12" xfId="0" applyNumberFormat="1" applyFont="1" applyBorder="1" applyAlignment="1">
      <alignment horizontal="right"/>
    </xf>
    <xf numFmtId="0" fontId="2" fillId="0" borderId="0" xfId="0" applyFont="1" applyBorder="1" applyAlignment="1">
      <alignment vertical="top" wrapText="1"/>
    </xf>
    <xf numFmtId="0" fontId="2" fillId="0" borderId="4" xfId="0" applyFont="1" applyBorder="1" applyAlignment="1">
      <alignment vertical="top" wrapText="1"/>
    </xf>
    <xf numFmtId="0" fontId="2" fillId="0" borderId="19" xfId="0" applyFont="1" applyBorder="1" applyAlignment="1">
      <alignment horizontal="center" vertical="center"/>
    </xf>
    <xf numFmtId="0" fontId="10" fillId="0" borderId="19" xfId="0" applyFont="1" applyBorder="1" applyAlignment="1">
      <alignment horizontal="center" vertical="center"/>
    </xf>
    <xf numFmtId="4" fontId="10" fillId="0" borderId="16" xfId="0" applyNumberFormat="1" applyFont="1" applyBorder="1"/>
    <xf numFmtId="4" fontId="2" fillId="0" borderId="15" xfId="0" applyNumberFormat="1" applyFont="1" applyBorder="1"/>
    <xf numFmtId="3" fontId="2" fillId="0" borderId="13" xfId="0" applyNumberFormat="1" applyFont="1" applyBorder="1"/>
    <xf numFmtId="4" fontId="10" fillId="0" borderId="18" xfId="0" applyNumberFormat="1" applyFont="1" applyBorder="1"/>
    <xf numFmtId="164" fontId="2" fillId="0" borderId="18" xfId="0" applyNumberFormat="1" applyFont="1" applyBorder="1" applyAlignment="1">
      <alignment horizontal="right"/>
    </xf>
    <xf numFmtId="0" fontId="7" fillId="0" borderId="11" xfId="0" applyFont="1" applyBorder="1" applyAlignment="1">
      <alignment horizontal="left" vertical="top" wrapText="1"/>
    </xf>
    <xf numFmtId="0" fontId="7" fillId="0" borderId="18" xfId="0" applyFont="1" applyBorder="1" applyAlignment="1">
      <alignment horizontal="left" vertical="top" wrapText="1"/>
    </xf>
    <xf numFmtId="165" fontId="2" fillId="0" borderId="14" xfId="0" applyNumberFormat="1" applyFont="1" applyBorder="1" applyAlignment="1">
      <alignment horizontal="right"/>
    </xf>
    <xf numFmtId="165" fontId="10" fillId="0" borderId="14" xfId="0" applyNumberFormat="1" applyFont="1" applyBorder="1" applyAlignment="1">
      <alignment horizontal="right"/>
    </xf>
    <xf numFmtId="3" fontId="14" fillId="0" borderId="18" xfId="0" applyNumberFormat="1" applyFont="1" applyBorder="1"/>
    <xf numFmtId="0" fontId="16" fillId="0" borderId="21" xfId="0" applyFont="1" applyFill="1" applyBorder="1" applyAlignment="1">
      <alignment horizontal="left" vertical="top" wrapText="1"/>
    </xf>
    <xf numFmtId="0" fontId="16" fillId="4" borderId="22" xfId="0" applyFont="1" applyFill="1" applyBorder="1" applyAlignment="1">
      <alignment vertical="top" wrapText="1"/>
    </xf>
    <xf numFmtId="0" fontId="9" fillId="2" borderId="0" xfId="1" applyFill="1" applyAlignment="1">
      <alignment vertical="center" wrapText="1"/>
    </xf>
    <xf numFmtId="0" fontId="0" fillId="2" borderId="0" xfId="0" applyFill="1" applyAlignment="1"/>
    <xf numFmtId="0" fontId="12" fillId="0" borderId="0" xfId="3" applyFont="1" applyFill="1" applyAlignment="1">
      <alignment horizontal="left" vertical="center"/>
    </xf>
    <xf numFmtId="0" fontId="2" fillId="0" borderId="0" xfId="0" applyFont="1" applyFill="1" applyAlignment="1"/>
    <xf numFmtId="0" fontId="2" fillId="0" borderId="0" xfId="1" applyFont="1" applyAlignment="1">
      <alignment vertical="center" wrapText="1"/>
    </xf>
    <xf numFmtId="0" fontId="2" fillId="0" borderId="0" xfId="0" applyFont="1" applyAlignment="1"/>
    <xf numFmtId="0" fontId="9" fillId="0" borderId="0" xfId="1" applyAlignment="1">
      <alignment vertical="center" wrapText="1"/>
    </xf>
    <xf numFmtId="0" fontId="0" fillId="0" borderId="0" xfId="0" applyAlignment="1"/>
    <xf numFmtId="0" fontId="0" fillId="0" borderId="0" xfId="1" applyFont="1" applyAlignment="1">
      <alignment vertical="center" wrapText="1"/>
    </xf>
    <xf numFmtId="0" fontId="2" fillId="0" borderId="0" xfId="0" applyNumberFormat="1" applyFont="1" applyAlignment="1">
      <alignment horizontal="left" wrapText="1"/>
    </xf>
    <xf numFmtId="0" fontId="0" fillId="0" borderId="0" xfId="0" applyAlignment="1">
      <alignment horizontal="left" wrapText="1"/>
    </xf>
    <xf numFmtId="0" fontId="0" fillId="0" borderId="23" xfId="0" applyBorder="1" applyAlignment="1">
      <alignment horizontal="left" wrapText="1"/>
    </xf>
    <xf numFmtId="0" fontId="3" fillId="3" borderId="4" xfId="2" applyFont="1" applyFill="1" applyBorder="1" applyAlignment="1">
      <alignment horizontal="left" vertical="top" wrapText="1"/>
    </xf>
    <xf numFmtId="0" fontId="0" fillId="0" borderId="4" xfId="0" applyBorder="1" applyAlignment="1">
      <alignment horizontal="left"/>
    </xf>
    <xf numFmtId="0" fontId="3" fillId="3" borderId="1" xfId="2" applyFont="1" applyFill="1" applyBorder="1" applyAlignment="1">
      <alignment horizontal="center"/>
    </xf>
    <xf numFmtId="0" fontId="0" fillId="0" borderId="1" xfId="0" applyBorder="1" applyAlignment="1"/>
    <xf numFmtId="0" fontId="2" fillId="0" borderId="0" xfId="0" applyFont="1" applyAlignment="1">
      <alignment horizontal="left" wrapText="1"/>
    </xf>
    <xf numFmtId="0" fontId="2" fillId="0" borderId="0" xfId="0" applyFont="1" applyAlignment="1">
      <alignment horizontal="left" vertical="top" wrapText="1"/>
    </xf>
    <xf numFmtId="0" fontId="2" fillId="0" borderId="0" xfId="0" applyFont="1" applyAlignment="1">
      <alignment wrapText="1"/>
    </xf>
    <xf numFmtId="0" fontId="0" fillId="0" borderId="0" xfId="0" applyAlignment="1">
      <alignment wrapText="1"/>
    </xf>
    <xf numFmtId="0" fontId="0" fillId="0" borderId="23" xfId="0" applyBorder="1" applyAlignment="1">
      <alignment wrapText="1"/>
    </xf>
    <xf numFmtId="0" fontId="7" fillId="0" borderId="0" xfId="0" applyFont="1" applyAlignment="1">
      <alignment wrapText="1"/>
    </xf>
    <xf numFmtId="0" fontId="10" fillId="0" borderId="0" xfId="0" applyFont="1" applyAlignment="1">
      <alignment horizontal="left" wrapText="1"/>
    </xf>
    <xf numFmtId="4" fontId="10" fillId="0" borderId="0" xfId="0" applyNumberFormat="1" applyFont="1" applyAlignment="1">
      <alignment horizontal="left" wrapText="1"/>
    </xf>
    <xf numFmtId="4" fontId="2" fillId="0" borderId="23" xfId="0" applyNumberFormat="1" applyFont="1" applyBorder="1" applyAlignment="1">
      <alignment horizontal="left" wrapText="1"/>
    </xf>
    <xf numFmtId="0" fontId="2" fillId="0" borderId="0" xfId="0" applyFont="1" applyAlignment="1">
      <alignment vertical="top" wrapText="1"/>
    </xf>
    <xf numFmtId="4" fontId="11" fillId="3" borderId="19" xfId="0" applyNumberFormat="1" applyFont="1" applyFill="1" applyBorder="1" applyAlignment="1">
      <alignment horizontal="center" vertical="top" wrapText="1"/>
    </xf>
    <xf numFmtId="0" fontId="0" fillId="0" borderId="5" xfId="0" applyBorder="1" applyAlignment="1">
      <alignment horizontal="center" vertical="top" wrapText="1"/>
    </xf>
    <xf numFmtId="0" fontId="3" fillId="3" borderId="1" xfId="2" applyFont="1" applyFill="1" applyBorder="1" applyAlignment="1">
      <alignment horizontal="left" vertical="top" wrapText="1"/>
    </xf>
    <xf numFmtId="0" fontId="0" fillId="0" borderId="1" xfId="0" applyBorder="1" applyAlignment="1">
      <alignment horizontal="left"/>
    </xf>
    <xf numFmtId="0" fontId="0" fillId="0" borderId="0" xfId="0" applyAlignment="1">
      <alignment horizontal="left" vertical="top" wrapText="1"/>
    </xf>
    <xf numFmtId="0" fontId="0" fillId="0" borderId="23" xfId="0" applyBorder="1" applyAlignment="1">
      <alignment horizontal="left" vertical="top" wrapText="1"/>
    </xf>
  </cellXfs>
  <cellStyles count="4">
    <cellStyle name="Headings" xfId="1" xr:uid="{00000000-0005-0000-0000-000000000000}"/>
    <cellStyle name="Normal" xfId="0" builtinId="0"/>
    <cellStyle name="Normal 2" xfId="2" xr:uid="{00000000-0005-0000-0000-000002000000}"/>
    <cellStyle name="Row_Headings"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9"/>
  <sheetViews>
    <sheetView workbookViewId="0">
      <selection activeCell="B33" sqref="B33"/>
    </sheetView>
  </sheetViews>
  <sheetFormatPr defaultRowHeight="12.75" x14ac:dyDescent="0.2"/>
  <cols>
    <col min="1" max="1" width="27.42578125" style="5" customWidth="1"/>
    <col min="2" max="2" width="43.28515625" style="16" customWidth="1"/>
    <col min="3" max="3" width="9.140625" style="16"/>
    <col min="4" max="16384" width="9.140625" style="5"/>
  </cols>
  <sheetData>
    <row r="1" spans="1:24" s="3" customFormat="1" ht="25.5" x14ac:dyDescent="0.2">
      <c r="B1" s="14" t="s">
        <v>0</v>
      </c>
      <c r="D1" s="4" t="s">
        <v>277</v>
      </c>
      <c r="E1" s="4" t="s">
        <v>278</v>
      </c>
      <c r="F1" s="4" t="s">
        <v>279</v>
      </c>
      <c r="G1" s="4" t="s">
        <v>280</v>
      </c>
      <c r="H1" s="4" t="s">
        <v>281</v>
      </c>
      <c r="I1" s="4" t="s">
        <v>282</v>
      </c>
      <c r="J1" s="4" t="s">
        <v>283</v>
      </c>
      <c r="K1" s="4" t="s">
        <v>284</v>
      </c>
      <c r="L1" s="4" t="s">
        <v>285</v>
      </c>
      <c r="M1" s="4" t="s">
        <v>286</v>
      </c>
      <c r="N1" s="4" t="s">
        <v>287</v>
      </c>
      <c r="O1" s="4" t="s">
        <v>288</v>
      </c>
      <c r="P1" s="4" t="s">
        <v>289</v>
      </c>
      <c r="Q1" s="4" t="s">
        <v>290</v>
      </c>
      <c r="R1" s="4" t="s">
        <v>291</v>
      </c>
      <c r="S1" s="4" t="s">
        <v>292</v>
      </c>
      <c r="T1" s="4" t="s">
        <v>293</v>
      </c>
      <c r="U1" s="4" t="s">
        <v>294</v>
      </c>
      <c r="V1" s="4" t="s">
        <v>295</v>
      </c>
      <c r="W1" s="4" t="s">
        <v>296</v>
      </c>
      <c r="X1" s="4" t="s">
        <v>297</v>
      </c>
    </row>
    <row r="3" spans="1:24" s="10" customFormat="1" x14ac:dyDescent="0.2">
      <c r="A3" s="10" t="s">
        <v>306</v>
      </c>
      <c r="B3" s="186" t="s">
        <v>298</v>
      </c>
      <c r="C3" s="17" t="s">
        <v>2</v>
      </c>
      <c r="D3" s="11">
        <v>11115</v>
      </c>
      <c r="E3" s="11">
        <v>10977</v>
      </c>
      <c r="F3" s="11">
        <v>10685</v>
      </c>
      <c r="G3" s="11">
        <v>10676</v>
      </c>
      <c r="H3" s="11">
        <v>10669</v>
      </c>
      <c r="I3" s="11">
        <v>10498</v>
      </c>
      <c r="J3" s="11">
        <v>11889</v>
      </c>
      <c r="K3" s="11">
        <v>9777</v>
      </c>
      <c r="L3" s="11">
        <v>11852</v>
      </c>
      <c r="M3" s="11">
        <v>10680</v>
      </c>
      <c r="N3" s="11">
        <v>10785</v>
      </c>
      <c r="O3" s="11">
        <v>13189</v>
      </c>
      <c r="P3" s="11">
        <v>10811</v>
      </c>
      <c r="Q3" s="11">
        <v>11587</v>
      </c>
      <c r="R3" s="11">
        <v>11322</v>
      </c>
      <c r="S3" s="11">
        <v>11062</v>
      </c>
      <c r="T3" s="11">
        <v>10728</v>
      </c>
      <c r="U3" s="11">
        <v>10250</v>
      </c>
      <c r="V3" s="11">
        <v>11510</v>
      </c>
      <c r="W3" s="11">
        <v>11477</v>
      </c>
      <c r="X3" s="11">
        <v>9682</v>
      </c>
    </row>
    <row r="4" spans="1:24" s="10" customFormat="1" x14ac:dyDescent="0.2">
      <c r="B4" s="187"/>
      <c r="C4" s="17" t="s">
        <v>3</v>
      </c>
      <c r="D4" s="12">
        <v>100</v>
      </c>
      <c r="E4" s="12">
        <v>100</v>
      </c>
      <c r="F4" s="12">
        <v>100</v>
      </c>
      <c r="G4" s="12">
        <v>100</v>
      </c>
      <c r="H4" s="12">
        <v>100</v>
      </c>
      <c r="I4" s="12">
        <v>100</v>
      </c>
      <c r="J4" s="12">
        <v>100</v>
      </c>
      <c r="K4" s="12">
        <v>100</v>
      </c>
      <c r="L4" s="12">
        <v>100</v>
      </c>
      <c r="M4" s="12">
        <v>100</v>
      </c>
      <c r="N4" s="12">
        <v>100</v>
      </c>
      <c r="O4" s="12">
        <v>100</v>
      </c>
      <c r="P4" s="12">
        <v>100</v>
      </c>
      <c r="Q4" s="12">
        <v>100</v>
      </c>
      <c r="R4" s="12">
        <v>100</v>
      </c>
      <c r="S4" s="12">
        <v>100</v>
      </c>
      <c r="T4" s="12">
        <v>100</v>
      </c>
      <c r="U4" s="12">
        <v>100</v>
      </c>
      <c r="V4" s="12">
        <v>100</v>
      </c>
      <c r="W4" s="12">
        <v>100</v>
      </c>
      <c r="X4" s="12">
        <v>100</v>
      </c>
    </row>
    <row r="5" spans="1:24" s="10" customFormat="1" x14ac:dyDescent="0.2">
      <c r="B5" s="186" t="s">
        <v>299</v>
      </c>
      <c r="C5" s="17" t="s">
        <v>2</v>
      </c>
      <c r="D5" s="11">
        <v>11115</v>
      </c>
      <c r="E5" s="11">
        <v>10977</v>
      </c>
      <c r="F5" s="11">
        <v>10685</v>
      </c>
      <c r="G5" s="11">
        <v>10676</v>
      </c>
      <c r="H5" s="11">
        <v>10669</v>
      </c>
      <c r="I5" s="11">
        <v>10498</v>
      </c>
      <c r="J5" s="11">
        <v>11889</v>
      </c>
      <c r="K5" s="11">
        <v>9777</v>
      </c>
      <c r="L5" s="11">
        <v>11852</v>
      </c>
      <c r="M5" s="11">
        <v>10680</v>
      </c>
      <c r="N5" s="11">
        <v>10785</v>
      </c>
      <c r="O5" s="11">
        <v>13189</v>
      </c>
      <c r="P5" s="11">
        <v>10811</v>
      </c>
      <c r="Q5" s="11">
        <v>11587</v>
      </c>
      <c r="R5" s="11">
        <v>11322</v>
      </c>
      <c r="S5" s="11">
        <v>11062</v>
      </c>
      <c r="T5" s="11">
        <v>10728</v>
      </c>
      <c r="U5" s="11">
        <v>10250</v>
      </c>
      <c r="V5" s="11">
        <v>11510</v>
      </c>
      <c r="W5" s="11">
        <v>11477</v>
      </c>
      <c r="X5" s="11">
        <v>9682</v>
      </c>
    </row>
    <row r="6" spans="1:24" s="10" customFormat="1" x14ac:dyDescent="0.2">
      <c r="B6" s="187"/>
      <c r="C6" s="17" t="s">
        <v>3</v>
      </c>
      <c r="D6" s="12">
        <v>100</v>
      </c>
      <c r="E6" s="12">
        <v>100</v>
      </c>
      <c r="F6" s="12">
        <v>100</v>
      </c>
      <c r="G6" s="12">
        <v>100</v>
      </c>
      <c r="H6" s="12">
        <v>100</v>
      </c>
      <c r="I6" s="12">
        <v>100</v>
      </c>
      <c r="J6" s="12">
        <v>100</v>
      </c>
      <c r="K6" s="12">
        <v>100</v>
      </c>
      <c r="L6" s="12">
        <v>100</v>
      </c>
      <c r="M6" s="12">
        <v>100</v>
      </c>
      <c r="N6" s="12">
        <v>100</v>
      </c>
      <c r="O6" s="12">
        <v>100</v>
      </c>
      <c r="P6" s="12">
        <v>100</v>
      </c>
      <c r="Q6" s="12">
        <v>100</v>
      </c>
      <c r="R6" s="12">
        <v>100</v>
      </c>
      <c r="S6" s="12">
        <v>100</v>
      </c>
      <c r="T6" s="12">
        <v>100</v>
      </c>
      <c r="U6" s="12">
        <v>100</v>
      </c>
      <c r="V6" s="12">
        <v>100</v>
      </c>
      <c r="W6" s="12">
        <v>100</v>
      </c>
      <c r="X6" s="12">
        <v>100</v>
      </c>
    </row>
    <row r="7" spans="1:24" s="10" customFormat="1" x14ac:dyDescent="0.2">
      <c r="B7" s="186" t="s">
        <v>300</v>
      </c>
      <c r="C7" s="17" t="s">
        <v>2</v>
      </c>
      <c r="D7" s="11">
        <v>11115</v>
      </c>
      <c r="E7" s="11">
        <v>10977</v>
      </c>
      <c r="F7" s="11">
        <v>10685</v>
      </c>
      <c r="G7" s="11">
        <v>10676</v>
      </c>
      <c r="H7" s="11">
        <v>10669</v>
      </c>
      <c r="I7" s="11">
        <v>10498</v>
      </c>
      <c r="J7" s="11">
        <v>11889</v>
      </c>
      <c r="K7" s="11">
        <v>9777</v>
      </c>
      <c r="L7" s="11">
        <v>11852</v>
      </c>
      <c r="M7" s="11">
        <v>10680</v>
      </c>
      <c r="N7" s="11">
        <v>10785</v>
      </c>
      <c r="O7" s="11">
        <v>13189</v>
      </c>
      <c r="P7" s="11">
        <v>10811</v>
      </c>
      <c r="Q7" s="11">
        <v>11587</v>
      </c>
      <c r="R7" s="11">
        <v>11322</v>
      </c>
      <c r="S7" s="11">
        <v>11062</v>
      </c>
      <c r="T7" s="11">
        <v>10728</v>
      </c>
      <c r="U7" s="11">
        <v>10250</v>
      </c>
      <c r="V7" s="11">
        <v>11510</v>
      </c>
      <c r="W7" s="11">
        <v>11477</v>
      </c>
      <c r="X7" s="11">
        <v>9682</v>
      </c>
    </row>
    <row r="8" spans="1:24" s="10" customFormat="1" x14ac:dyDescent="0.2">
      <c r="B8" s="187"/>
      <c r="C8" s="17" t="s">
        <v>3</v>
      </c>
      <c r="D8" s="12">
        <v>100</v>
      </c>
      <c r="E8" s="12">
        <v>100</v>
      </c>
      <c r="F8" s="12">
        <v>100</v>
      </c>
      <c r="G8" s="12">
        <v>100</v>
      </c>
      <c r="H8" s="12">
        <v>100</v>
      </c>
      <c r="I8" s="12">
        <v>100</v>
      </c>
      <c r="J8" s="12">
        <v>100</v>
      </c>
      <c r="K8" s="12">
        <v>100</v>
      </c>
      <c r="L8" s="12">
        <v>100</v>
      </c>
      <c r="M8" s="12">
        <v>100</v>
      </c>
      <c r="N8" s="12">
        <v>100</v>
      </c>
      <c r="O8" s="12">
        <v>100</v>
      </c>
      <c r="P8" s="12">
        <v>100</v>
      </c>
      <c r="Q8" s="12">
        <v>100</v>
      </c>
      <c r="R8" s="12">
        <v>100</v>
      </c>
      <c r="S8" s="12">
        <v>100</v>
      </c>
      <c r="T8" s="12">
        <v>100</v>
      </c>
      <c r="U8" s="12">
        <v>100</v>
      </c>
      <c r="V8" s="12">
        <v>100</v>
      </c>
      <c r="W8" s="12">
        <v>100</v>
      </c>
      <c r="X8" s="12">
        <v>100</v>
      </c>
    </row>
    <row r="9" spans="1:24" s="10" customFormat="1" ht="12.75" customHeight="1" x14ac:dyDescent="0.2">
      <c r="B9" s="186" t="s">
        <v>301</v>
      </c>
      <c r="C9" s="17" t="s">
        <v>2</v>
      </c>
      <c r="D9" s="11">
        <v>11115</v>
      </c>
      <c r="E9" s="11">
        <v>10977</v>
      </c>
      <c r="F9" s="11">
        <v>10685</v>
      </c>
      <c r="G9" s="11">
        <v>10676</v>
      </c>
      <c r="H9" s="11">
        <v>10669</v>
      </c>
      <c r="I9" s="11">
        <v>10498</v>
      </c>
      <c r="J9" s="11">
        <v>11889</v>
      </c>
      <c r="K9" s="11">
        <v>9777</v>
      </c>
      <c r="L9" s="11">
        <v>11852</v>
      </c>
      <c r="M9" s="11">
        <v>10680</v>
      </c>
      <c r="N9" s="11">
        <v>10785</v>
      </c>
      <c r="O9" s="11">
        <v>13189</v>
      </c>
      <c r="P9" s="11">
        <v>10811</v>
      </c>
      <c r="Q9" s="11">
        <v>11587</v>
      </c>
      <c r="R9" s="11">
        <v>11322</v>
      </c>
      <c r="S9" s="11">
        <v>11062</v>
      </c>
      <c r="T9" s="11">
        <v>10728</v>
      </c>
      <c r="U9" s="11">
        <v>10250</v>
      </c>
      <c r="V9" s="11">
        <v>11510</v>
      </c>
      <c r="W9" s="11">
        <v>11477</v>
      </c>
      <c r="X9" s="11">
        <v>9682</v>
      </c>
    </row>
    <row r="10" spans="1:24" s="10" customFormat="1" x14ac:dyDescent="0.2">
      <c r="B10" s="187"/>
      <c r="C10" s="17" t="s">
        <v>3</v>
      </c>
      <c r="D10" s="12">
        <v>100</v>
      </c>
      <c r="E10" s="12">
        <v>100</v>
      </c>
      <c r="F10" s="12">
        <v>100</v>
      </c>
      <c r="G10" s="12">
        <v>100</v>
      </c>
      <c r="H10" s="12">
        <v>100</v>
      </c>
      <c r="I10" s="12">
        <v>100</v>
      </c>
      <c r="J10" s="12">
        <v>100</v>
      </c>
      <c r="K10" s="12">
        <v>100</v>
      </c>
      <c r="L10" s="12">
        <v>100</v>
      </c>
      <c r="M10" s="12">
        <v>100</v>
      </c>
      <c r="N10" s="12">
        <v>100</v>
      </c>
      <c r="O10" s="12">
        <v>100</v>
      </c>
      <c r="P10" s="12">
        <v>100</v>
      </c>
      <c r="Q10" s="12">
        <v>100</v>
      </c>
      <c r="R10" s="12">
        <v>100</v>
      </c>
      <c r="S10" s="12">
        <v>100</v>
      </c>
      <c r="T10" s="12">
        <v>100</v>
      </c>
      <c r="U10" s="12">
        <v>100</v>
      </c>
      <c r="V10" s="12">
        <v>100</v>
      </c>
      <c r="W10" s="12">
        <v>100</v>
      </c>
      <c r="X10" s="12">
        <v>100</v>
      </c>
    </row>
    <row r="11" spans="1:24" s="10" customFormat="1" x14ac:dyDescent="0.2">
      <c r="B11" s="186" t="s">
        <v>302</v>
      </c>
      <c r="C11" s="17" t="s">
        <v>2</v>
      </c>
      <c r="D11" s="11">
        <v>11115</v>
      </c>
      <c r="E11" s="11">
        <v>10977</v>
      </c>
      <c r="F11" s="11">
        <v>10685</v>
      </c>
      <c r="G11" s="11">
        <v>10676</v>
      </c>
      <c r="H11" s="11">
        <v>10669</v>
      </c>
      <c r="I11" s="11">
        <v>10498</v>
      </c>
      <c r="J11" s="11">
        <v>11889</v>
      </c>
      <c r="K11" s="11">
        <v>9777</v>
      </c>
      <c r="L11" s="11">
        <v>11852</v>
      </c>
      <c r="M11" s="11">
        <v>10680</v>
      </c>
      <c r="N11" s="11">
        <v>10785</v>
      </c>
      <c r="O11" s="11">
        <v>13189</v>
      </c>
      <c r="P11" s="11">
        <v>10811</v>
      </c>
      <c r="Q11" s="11">
        <v>11587</v>
      </c>
      <c r="R11" s="11">
        <v>11322</v>
      </c>
      <c r="S11" s="11">
        <v>11062</v>
      </c>
      <c r="T11" s="11">
        <v>10728</v>
      </c>
      <c r="U11" s="11">
        <v>10250</v>
      </c>
      <c r="V11" s="11">
        <v>11510</v>
      </c>
      <c r="W11" s="11">
        <v>11477</v>
      </c>
      <c r="X11" s="11">
        <v>9682</v>
      </c>
    </row>
    <row r="12" spans="1:24" s="10" customFormat="1" x14ac:dyDescent="0.2">
      <c r="B12" s="187"/>
      <c r="C12" s="17" t="s">
        <v>3</v>
      </c>
      <c r="D12" s="12">
        <v>100</v>
      </c>
      <c r="E12" s="12">
        <v>100</v>
      </c>
      <c r="F12" s="12">
        <v>100</v>
      </c>
      <c r="G12" s="12">
        <v>100</v>
      </c>
      <c r="H12" s="12">
        <v>100</v>
      </c>
      <c r="I12" s="12">
        <v>100</v>
      </c>
      <c r="J12" s="12">
        <v>100</v>
      </c>
      <c r="K12" s="12">
        <v>100</v>
      </c>
      <c r="L12" s="12">
        <v>100</v>
      </c>
      <c r="M12" s="12">
        <v>100</v>
      </c>
      <c r="N12" s="12">
        <v>100</v>
      </c>
      <c r="O12" s="12">
        <v>100</v>
      </c>
      <c r="P12" s="12">
        <v>100</v>
      </c>
      <c r="Q12" s="12">
        <v>100</v>
      </c>
      <c r="R12" s="12">
        <v>100</v>
      </c>
      <c r="S12" s="12">
        <v>100</v>
      </c>
      <c r="T12" s="12">
        <v>100</v>
      </c>
      <c r="U12" s="12">
        <v>100</v>
      </c>
      <c r="V12" s="12">
        <v>100</v>
      </c>
      <c r="W12" s="12">
        <v>100</v>
      </c>
      <c r="X12" s="12">
        <v>100</v>
      </c>
    </row>
    <row r="13" spans="1:24" s="10" customFormat="1" x14ac:dyDescent="0.2">
      <c r="B13" s="186" t="s">
        <v>303</v>
      </c>
      <c r="C13" s="17" t="s">
        <v>2</v>
      </c>
      <c r="D13" s="11">
        <v>11115</v>
      </c>
      <c r="E13" s="11">
        <v>10977</v>
      </c>
      <c r="F13" s="11">
        <v>10685</v>
      </c>
      <c r="G13" s="11">
        <v>10676</v>
      </c>
      <c r="H13" s="11">
        <v>10669</v>
      </c>
      <c r="I13" s="11">
        <v>10498</v>
      </c>
      <c r="J13" s="11">
        <v>11889</v>
      </c>
      <c r="K13" s="11">
        <v>9777</v>
      </c>
      <c r="L13" s="11">
        <v>11852</v>
      </c>
      <c r="M13" s="11">
        <v>10680</v>
      </c>
      <c r="N13" s="11">
        <v>10785</v>
      </c>
      <c r="O13" s="11">
        <v>13189</v>
      </c>
      <c r="P13" s="11">
        <v>10811</v>
      </c>
      <c r="Q13" s="11">
        <v>11587</v>
      </c>
      <c r="R13" s="11">
        <v>11322</v>
      </c>
      <c r="S13" s="11">
        <v>11062</v>
      </c>
      <c r="T13" s="11">
        <v>10728</v>
      </c>
      <c r="U13" s="11">
        <v>10250</v>
      </c>
      <c r="V13" s="11">
        <v>11510</v>
      </c>
      <c r="W13" s="11">
        <v>11477</v>
      </c>
      <c r="X13" s="11">
        <v>9682</v>
      </c>
    </row>
    <row r="14" spans="1:24" s="10" customFormat="1" x14ac:dyDescent="0.2">
      <c r="B14" s="187"/>
      <c r="C14" s="17" t="s">
        <v>3</v>
      </c>
      <c r="D14" s="12">
        <v>100</v>
      </c>
      <c r="E14" s="12">
        <v>100</v>
      </c>
      <c r="F14" s="12">
        <v>100</v>
      </c>
      <c r="G14" s="12">
        <v>100</v>
      </c>
      <c r="H14" s="12">
        <v>100</v>
      </c>
      <c r="I14" s="12">
        <v>100</v>
      </c>
      <c r="J14" s="12">
        <v>100</v>
      </c>
      <c r="K14" s="12">
        <v>100</v>
      </c>
      <c r="L14" s="12">
        <v>100</v>
      </c>
      <c r="M14" s="12">
        <v>100</v>
      </c>
      <c r="N14" s="12">
        <v>100</v>
      </c>
      <c r="O14" s="12">
        <v>100</v>
      </c>
      <c r="P14" s="12">
        <v>100</v>
      </c>
      <c r="Q14" s="12">
        <v>100</v>
      </c>
      <c r="R14" s="12">
        <v>100</v>
      </c>
      <c r="S14" s="12">
        <v>100</v>
      </c>
      <c r="T14" s="12">
        <v>100</v>
      </c>
      <c r="U14" s="12">
        <v>100</v>
      </c>
      <c r="V14" s="12">
        <v>100</v>
      </c>
      <c r="W14" s="12">
        <v>100</v>
      </c>
      <c r="X14" s="12">
        <v>100</v>
      </c>
    </row>
    <row r="15" spans="1:24" s="10" customFormat="1" x14ac:dyDescent="0.2">
      <c r="B15" s="186" t="s">
        <v>304</v>
      </c>
      <c r="C15" s="17" t="s">
        <v>2</v>
      </c>
      <c r="D15" s="11">
        <v>11115</v>
      </c>
      <c r="E15" s="11">
        <v>10977</v>
      </c>
      <c r="F15" s="11">
        <v>10685</v>
      </c>
      <c r="G15" s="11">
        <v>10676</v>
      </c>
      <c r="H15" s="11">
        <v>10669</v>
      </c>
      <c r="I15" s="11">
        <v>10498</v>
      </c>
      <c r="J15" s="11">
        <v>11889</v>
      </c>
      <c r="K15" s="11">
        <v>9777</v>
      </c>
      <c r="L15" s="11">
        <v>11852</v>
      </c>
      <c r="M15" s="11">
        <v>10680</v>
      </c>
      <c r="N15" s="11">
        <v>10785</v>
      </c>
      <c r="O15" s="11">
        <v>13189</v>
      </c>
      <c r="P15" s="11">
        <v>10811</v>
      </c>
      <c r="Q15" s="11">
        <v>11587</v>
      </c>
      <c r="R15" s="11">
        <v>11322</v>
      </c>
      <c r="S15" s="11">
        <v>11062</v>
      </c>
      <c r="T15" s="11">
        <v>10728</v>
      </c>
      <c r="U15" s="11">
        <v>10250</v>
      </c>
      <c r="V15" s="11">
        <v>11510</v>
      </c>
      <c r="W15" s="11">
        <v>11477</v>
      </c>
      <c r="X15" s="11">
        <v>9682</v>
      </c>
    </row>
    <row r="16" spans="1:24" s="10" customFormat="1" x14ac:dyDescent="0.2">
      <c r="B16" s="187"/>
      <c r="C16" s="17" t="s">
        <v>3</v>
      </c>
      <c r="D16" s="12">
        <v>100</v>
      </c>
      <c r="E16" s="12">
        <v>100</v>
      </c>
      <c r="F16" s="12">
        <v>100</v>
      </c>
      <c r="G16" s="12">
        <v>100</v>
      </c>
      <c r="H16" s="12">
        <v>100</v>
      </c>
      <c r="I16" s="12">
        <v>100</v>
      </c>
      <c r="J16" s="12">
        <v>100</v>
      </c>
      <c r="K16" s="12">
        <v>100</v>
      </c>
      <c r="L16" s="12">
        <v>100</v>
      </c>
      <c r="M16" s="12">
        <v>100</v>
      </c>
      <c r="N16" s="12">
        <v>100</v>
      </c>
      <c r="O16" s="12">
        <v>100</v>
      </c>
      <c r="P16" s="12">
        <v>100</v>
      </c>
      <c r="Q16" s="12">
        <v>100</v>
      </c>
      <c r="R16" s="12">
        <v>100</v>
      </c>
      <c r="S16" s="12">
        <v>100</v>
      </c>
      <c r="T16" s="12">
        <v>100</v>
      </c>
      <c r="U16" s="12">
        <v>100</v>
      </c>
      <c r="V16" s="12">
        <v>100</v>
      </c>
      <c r="W16" s="12">
        <v>100</v>
      </c>
      <c r="X16" s="12">
        <v>100</v>
      </c>
    </row>
    <row r="17" spans="2:24" s="10" customFormat="1" x14ac:dyDescent="0.2">
      <c r="B17" s="186" t="s">
        <v>305</v>
      </c>
      <c r="C17" s="17" t="s">
        <v>2</v>
      </c>
      <c r="D17" s="11">
        <v>11115</v>
      </c>
      <c r="E17" s="11">
        <v>10977</v>
      </c>
      <c r="F17" s="11">
        <v>10685</v>
      </c>
      <c r="G17" s="11">
        <v>10676</v>
      </c>
      <c r="H17" s="11">
        <v>10669</v>
      </c>
      <c r="I17" s="11">
        <v>10498</v>
      </c>
      <c r="J17" s="11">
        <v>11889</v>
      </c>
      <c r="K17" s="11">
        <v>9777</v>
      </c>
      <c r="L17" s="11">
        <v>11852</v>
      </c>
      <c r="M17" s="11">
        <v>10680</v>
      </c>
      <c r="N17" s="11">
        <v>10785</v>
      </c>
      <c r="O17" s="11">
        <v>13189</v>
      </c>
      <c r="P17" s="11">
        <v>10811</v>
      </c>
      <c r="Q17" s="11">
        <v>11587</v>
      </c>
      <c r="R17" s="11">
        <v>11322</v>
      </c>
      <c r="S17" s="11">
        <v>11062</v>
      </c>
      <c r="T17" s="11">
        <v>10728</v>
      </c>
      <c r="U17" s="11">
        <v>10250</v>
      </c>
      <c r="V17" s="11">
        <v>11510</v>
      </c>
      <c r="W17" s="11">
        <v>11477</v>
      </c>
      <c r="X17" s="11">
        <v>9682</v>
      </c>
    </row>
    <row r="18" spans="2:24" s="10" customFormat="1" x14ac:dyDescent="0.2">
      <c r="B18" s="187"/>
      <c r="C18" s="17" t="s">
        <v>3</v>
      </c>
      <c r="D18" s="12">
        <v>100</v>
      </c>
      <c r="E18" s="12">
        <v>100</v>
      </c>
      <c r="F18" s="12">
        <v>100</v>
      </c>
      <c r="G18" s="12">
        <v>100</v>
      </c>
      <c r="H18" s="12">
        <v>100</v>
      </c>
      <c r="I18" s="12">
        <v>100</v>
      </c>
      <c r="J18" s="12">
        <v>100</v>
      </c>
      <c r="K18" s="12">
        <v>100</v>
      </c>
      <c r="L18" s="12">
        <v>100</v>
      </c>
      <c r="M18" s="12">
        <v>100</v>
      </c>
      <c r="N18" s="12">
        <v>100</v>
      </c>
      <c r="O18" s="12">
        <v>100</v>
      </c>
      <c r="P18" s="12">
        <v>100</v>
      </c>
      <c r="Q18" s="12">
        <v>100</v>
      </c>
      <c r="R18" s="12">
        <v>100</v>
      </c>
      <c r="S18" s="12">
        <v>100</v>
      </c>
      <c r="T18" s="12">
        <v>100</v>
      </c>
      <c r="U18" s="12">
        <v>100</v>
      </c>
      <c r="V18" s="12">
        <v>100</v>
      </c>
      <c r="W18" s="12">
        <v>100</v>
      </c>
      <c r="X18" s="12">
        <v>100</v>
      </c>
    </row>
    <row r="19" spans="2:24" ht="26.25" customHeight="1" x14ac:dyDescent="0.2"/>
  </sheetData>
  <mergeCells count="8">
    <mergeCell ref="B15:B16"/>
    <mergeCell ref="B17:B18"/>
    <mergeCell ref="B3:B4"/>
    <mergeCell ref="B5:B6"/>
    <mergeCell ref="B7:B8"/>
    <mergeCell ref="B9:B10"/>
    <mergeCell ref="B11:B12"/>
    <mergeCell ref="B13:B14"/>
  </mergeCells>
  <phoneticPr fontId="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sqref="A1:IV65536"/>
    </sheetView>
  </sheetViews>
  <sheetFormatPr defaultRowHeight="12.75" x14ac:dyDescent="0.2"/>
  <sheetData/>
  <phoneticPr fontId="15"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2.75" x14ac:dyDescent="0.2"/>
  <sheetData/>
  <phoneticPr fontId="1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790"/>
  <sheetViews>
    <sheetView workbookViewId="0">
      <selection sqref="A1:IV65536"/>
    </sheetView>
  </sheetViews>
  <sheetFormatPr defaultRowHeight="12.75" x14ac:dyDescent="0.2"/>
  <cols>
    <col min="1" max="1" width="30" customWidth="1"/>
    <col min="2" max="2" width="39.42578125" customWidth="1"/>
    <col min="4" max="4" width="11.5703125" style="41" bestFit="1" customWidth="1"/>
    <col min="5" max="5" width="10.5703125" style="41" bestFit="1" customWidth="1"/>
    <col min="6" max="6" width="9.140625" style="41"/>
  </cols>
  <sheetData>
    <row r="1" spans="1:27" s="3" customFormat="1" ht="38.25" x14ac:dyDescent="0.2">
      <c r="B1" s="14" t="s">
        <v>0</v>
      </c>
      <c r="D1" s="38" t="s">
        <v>58</v>
      </c>
      <c r="E1" s="38" t="s">
        <v>321</v>
      </c>
      <c r="F1" s="38" t="s">
        <v>322</v>
      </c>
      <c r="G1" s="4" t="s">
        <v>277</v>
      </c>
      <c r="H1" s="4" t="s">
        <v>278</v>
      </c>
      <c r="I1" s="4" t="s">
        <v>279</v>
      </c>
      <c r="J1" s="4" t="s">
        <v>280</v>
      </c>
      <c r="K1" s="4" t="s">
        <v>281</v>
      </c>
      <c r="L1" s="4" t="s">
        <v>282</v>
      </c>
      <c r="M1" s="4" t="s">
        <v>283</v>
      </c>
      <c r="N1" s="4" t="s">
        <v>284</v>
      </c>
      <c r="O1" s="4" t="s">
        <v>285</v>
      </c>
      <c r="P1" s="4" t="s">
        <v>286</v>
      </c>
      <c r="Q1" s="4" t="s">
        <v>287</v>
      </c>
      <c r="R1" s="4" t="s">
        <v>288</v>
      </c>
      <c r="S1" s="4" t="s">
        <v>289</v>
      </c>
      <c r="T1" s="4" t="s">
        <v>290</v>
      </c>
      <c r="U1" s="4" t="s">
        <v>291</v>
      </c>
      <c r="V1" s="4" t="s">
        <v>292</v>
      </c>
      <c r="W1" s="4" t="s">
        <v>293</v>
      </c>
      <c r="X1" s="4" t="s">
        <v>294</v>
      </c>
      <c r="Y1" s="4" t="s">
        <v>295</v>
      </c>
      <c r="Z1" s="4" t="s">
        <v>296</v>
      </c>
      <c r="AA1" s="4" t="s">
        <v>297</v>
      </c>
    </row>
    <row r="2" spans="1:27" s="5" customFormat="1" x14ac:dyDescent="0.2">
      <c r="A2" s="5" t="s">
        <v>318</v>
      </c>
      <c r="B2" s="194" t="s">
        <v>333</v>
      </c>
      <c r="C2" s="18" t="s">
        <v>2</v>
      </c>
      <c r="D2" s="39">
        <v>53012456</v>
      </c>
      <c r="E2" s="39">
        <v>5283733</v>
      </c>
      <c r="F2" s="39">
        <v>231221</v>
      </c>
      <c r="G2" s="1">
        <v>11115</v>
      </c>
      <c r="H2" s="1">
        <v>10977</v>
      </c>
      <c r="I2" s="1">
        <v>10685</v>
      </c>
      <c r="J2" s="1">
        <v>10676</v>
      </c>
      <c r="K2" s="1">
        <v>10669</v>
      </c>
      <c r="L2" s="1">
        <v>10498</v>
      </c>
      <c r="M2" s="1">
        <v>11889</v>
      </c>
      <c r="N2" s="1">
        <v>9777</v>
      </c>
      <c r="O2" s="1">
        <v>11852</v>
      </c>
      <c r="P2" s="1">
        <v>10680</v>
      </c>
      <c r="Q2" s="1">
        <v>10785</v>
      </c>
      <c r="R2" s="1">
        <v>13189</v>
      </c>
      <c r="S2" s="1">
        <v>10811</v>
      </c>
      <c r="T2" s="1">
        <v>11587</v>
      </c>
      <c r="U2" s="1">
        <v>11322</v>
      </c>
      <c r="V2" s="1">
        <v>11062</v>
      </c>
      <c r="W2" s="1">
        <v>10728</v>
      </c>
      <c r="X2" s="1">
        <v>10250</v>
      </c>
      <c r="Y2" s="1">
        <v>11510</v>
      </c>
      <c r="Z2" s="1">
        <v>11477</v>
      </c>
      <c r="AA2" s="1">
        <v>9682</v>
      </c>
    </row>
    <row r="3" spans="1:27" s="5" customFormat="1" x14ac:dyDescent="0.2">
      <c r="B3" s="193"/>
      <c r="C3" s="18" t="s">
        <v>3</v>
      </c>
      <c r="D3" s="39">
        <v>100</v>
      </c>
      <c r="E3" s="39">
        <v>100</v>
      </c>
      <c r="F3" s="39">
        <v>100</v>
      </c>
      <c r="G3" s="2">
        <v>100</v>
      </c>
      <c r="H3" s="2">
        <v>100</v>
      </c>
      <c r="I3" s="2">
        <v>100</v>
      </c>
      <c r="J3" s="2">
        <v>100</v>
      </c>
      <c r="K3" s="2">
        <v>100</v>
      </c>
      <c r="L3" s="2">
        <v>100</v>
      </c>
      <c r="M3" s="2">
        <v>100</v>
      </c>
      <c r="N3" s="2">
        <v>100</v>
      </c>
      <c r="O3" s="2">
        <v>100</v>
      </c>
      <c r="P3" s="2">
        <v>100</v>
      </c>
      <c r="Q3" s="2">
        <v>100</v>
      </c>
      <c r="R3" s="2">
        <v>100</v>
      </c>
      <c r="S3" s="2">
        <v>100</v>
      </c>
      <c r="T3" s="2">
        <v>100</v>
      </c>
      <c r="U3" s="2">
        <v>100</v>
      </c>
      <c r="V3" s="2">
        <v>100</v>
      </c>
      <c r="W3" s="2">
        <v>100</v>
      </c>
      <c r="X3" s="2">
        <v>100</v>
      </c>
      <c r="Y3" s="2">
        <v>100</v>
      </c>
      <c r="Z3" s="2">
        <v>100</v>
      </c>
      <c r="AA3" s="2">
        <v>100</v>
      </c>
    </row>
    <row r="4" spans="1:27" s="5" customFormat="1" x14ac:dyDescent="0.2">
      <c r="B4" s="192" t="s">
        <v>313</v>
      </c>
      <c r="C4" s="18" t="s">
        <v>2</v>
      </c>
      <c r="D4" s="39">
        <v>26069148</v>
      </c>
      <c r="E4" s="39">
        <v>2598078</v>
      </c>
      <c r="F4" s="39">
        <v>113634</v>
      </c>
      <c r="G4" s="1">
        <v>5674</v>
      </c>
      <c r="H4" s="1">
        <v>5417</v>
      </c>
      <c r="I4" s="1">
        <v>5260</v>
      </c>
      <c r="J4" s="1">
        <v>5196</v>
      </c>
      <c r="K4" s="1">
        <v>5185</v>
      </c>
      <c r="L4" s="1">
        <v>5141</v>
      </c>
      <c r="M4" s="1">
        <v>5818</v>
      </c>
      <c r="N4" s="1">
        <v>4773</v>
      </c>
      <c r="O4" s="1">
        <v>5817</v>
      </c>
      <c r="P4" s="1">
        <v>5334</v>
      </c>
      <c r="Q4" s="1">
        <v>5237</v>
      </c>
      <c r="R4" s="1">
        <v>6463</v>
      </c>
      <c r="S4" s="1">
        <v>5387</v>
      </c>
      <c r="T4" s="1">
        <v>5726</v>
      </c>
      <c r="U4" s="1">
        <v>5608</v>
      </c>
      <c r="V4" s="1">
        <v>5313</v>
      </c>
      <c r="W4" s="1">
        <v>5238</v>
      </c>
      <c r="X4" s="1">
        <v>5049</v>
      </c>
      <c r="Y4" s="1">
        <v>5680</v>
      </c>
      <c r="Z4" s="1">
        <v>5585</v>
      </c>
      <c r="AA4" s="1">
        <v>4733</v>
      </c>
    </row>
    <row r="5" spans="1:27" s="5" customFormat="1" x14ac:dyDescent="0.2">
      <c r="B5" s="193"/>
      <c r="C5" s="18" t="s">
        <v>3</v>
      </c>
      <c r="D5" s="39">
        <v>49.2</v>
      </c>
      <c r="E5" s="39">
        <v>49.2</v>
      </c>
      <c r="F5" s="39">
        <v>49.1</v>
      </c>
      <c r="G5" s="2">
        <v>51</v>
      </c>
      <c r="H5" s="2">
        <v>49.3</v>
      </c>
      <c r="I5" s="2">
        <v>49.2</v>
      </c>
      <c r="J5" s="2">
        <v>48.7</v>
      </c>
      <c r="K5" s="2">
        <v>48.6</v>
      </c>
      <c r="L5" s="2">
        <v>49</v>
      </c>
      <c r="M5" s="2">
        <v>48.9</v>
      </c>
      <c r="N5" s="2">
        <v>48.8</v>
      </c>
      <c r="O5" s="2">
        <v>49.1</v>
      </c>
      <c r="P5" s="2">
        <v>49.9</v>
      </c>
      <c r="Q5" s="2">
        <v>48.6</v>
      </c>
      <c r="R5" s="2">
        <v>49</v>
      </c>
      <c r="S5" s="2">
        <v>49.8</v>
      </c>
      <c r="T5" s="2">
        <v>49.4</v>
      </c>
      <c r="U5" s="2">
        <v>49.5</v>
      </c>
      <c r="V5" s="2">
        <v>48</v>
      </c>
      <c r="W5" s="2">
        <v>48.8</v>
      </c>
      <c r="X5" s="2">
        <v>49.3</v>
      </c>
      <c r="Y5" s="2">
        <v>49.3</v>
      </c>
      <c r="Z5" s="2">
        <v>48.7</v>
      </c>
      <c r="AA5" s="2">
        <v>48.9</v>
      </c>
    </row>
    <row r="6" spans="1:27" s="5" customFormat="1" x14ac:dyDescent="0.2">
      <c r="B6" s="192" t="s">
        <v>314</v>
      </c>
      <c r="C6" s="18" t="s">
        <v>2</v>
      </c>
      <c r="D6" s="39">
        <v>26943308</v>
      </c>
      <c r="E6" s="39">
        <v>2685655</v>
      </c>
      <c r="F6" s="39">
        <v>117587</v>
      </c>
      <c r="G6" s="1">
        <v>5441</v>
      </c>
      <c r="H6" s="1">
        <v>5560</v>
      </c>
      <c r="I6" s="1">
        <v>5425</v>
      </c>
      <c r="J6" s="1">
        <v>5480</v>
      </c>
      <c r="K6" s="1">
        <v>5484</v>
      </c>
      <c r="L6" s="1">
        <v>5357</v>
      </c>
      <c r="M6" s="1">
        <v>6071</v>
      </c>
      <c r="N6" s="1">
        <v>5004</v>
      </c>
      <c r="O6" s="1">
        <v>6035</v>
      </c>
      <c r="P6" s="1">
        <v>5346</v>
      </c>
      <c r="Q6" s="1">
        <v>5548</v>
      </c>
      <c r="R6" s="1">
        <v>6726</v>
      </c>
      <c r="S6" s="1">
        <v>5424</v>
      </c>
      <c r="T6" s="1">
        <v>5861</v>
      </c>
      <c r="U6" s="1">
        <v>5714</v>
      </c>
      <c r="V6" s="1">
        <v>5749</v>
      </c>
      <c r="W6" s="1">
        <v>5490</v>
      </c>
      <c r="X6" s="1">
        <v>5201</v>
      </c>
      <c r="Y6" s="1">
        <v>5830</v>
      </c>
      <c r="Z6" s="1">
        <v>5892</v>
      </c>
      <c r="AA6" s="1">
        <v>4949</v>
      </c>
    </row>
    <row r="7" spans="1:27" s="5" customFormat="1" x14ac:dyDescent="0.2">
      <c r="B7" s="193"/>
      <c r="C7" s="18" t="s">
        <v>3</v>
      </c>
      <c r="D7" s="39">
        <v>50.8</v>
      </c>
      <c r="E7" s="39">
        <v>50.8</v>
      </c>
      <c r="F7" s="39">
        <v>50.9</v>
      </c>
      <c r="G7" s="2">
        <v>49</v>
      </c>
      <c r="H7" s="2">
        <v>50.7</v>
      </c>
      <c r="I7" s="2">
        <v>50.8</v>
      </c>
      <c r="J7" s="2">
        <v>51.3</v>
      </c>
      <c r="K7" s="2">
        <v>51.4</v>
      </c>
      <c r="L7" s="2">
        <v>51</v>
      </c>
      <c r="M7" s="2">
        <v>51.1</v>
      </c>
      <c r="N7" s="2">
        <v>51.2</v>
      </c>
      <c r="O7" s="2">
        <v>50.9</v>
      </c>
      <c r="P7" s="2">
        <v>50.1</v>
      </c>
      <c r="Q7" s="2">
        <v>51.4</v>
      </c>
      <c r="R7" s="2">
        <v>51</v>
      </c>
      <c r="S7" s="2">
        <v>50.2</v>
      </c>
      <c r="T7" s="2">
        <v>50.6</v>
      </c>
      <c r="U7" s="2">
        <v>50.5</v>
      </c>
      <c r="V7" s="2">
        <v>52</v>
      </c>
      <c r="W7" s="2">
        <v>51.2</v>
      </c>
      <c r="X7" s="2">
        <v>50.7</v>
      </c>
      <c r="Y7" s="2">
        <v>50.7</v>
      </c>
      <c r="Z7" s="2">
        <v>51.3</v>
      </c>
      <c r="AA7" s="2">
        <v>51.1</v>
      </c>
    </row>
    <row r="8" spans="1:27" s="5" customFormat="1" x14ac:dyDescent="0.2">
      <c r="B8" s="194" t="s">
        <v>334</v>
      </c>
      <c r="C8" s="18" t="s">
        <v>2</v>
      </c>
      <c r="D8" s="39">
        <v>52059931</v>
      </c>
      <c r="E8" s="39">
        <v>5185677</v>
      </c>
      <c r="F8" s="39">
        <v>229539</v>
      </c>
      <c r="G8" s="1">
        <v>11038</v>
      </c>
      <c r="H8" s="1">
        <v>10917</v>
      </c>
      <c r="I8" s="1">
        <v>10616</v>
      </c>
      <c r="J8" s="1">
        <v>10555</v>
      </c>
      <c r="K8" s="1">
        <v>10632</v>
      </c>
      <c r="L8" s="1">
        <v>10418</v>
      </c>
      <c r="M8" s="1">
        <v>11831</v>
      </c>
      <c r="N8" s="1">
        <v>9679</v>
      </c>
      <c r="O8" s="1">
        <v>11786</v>
      </c>
      <c r="P8" s="1">
        <v>10558</v>
      </c>
      <c r="Q8" s="1">
        <v>10660</v>
      </c>
      <c r="R8" s="1">
        <v>12994</v>
      </c>
      <c r="S8" s="1">
        <v>10723</v>
      </c>
      <c r="T8" s="1">
        <v>11577</v>
      </c>
      <c r="U8" s="1">
        <v>11306</v>
      </c>
      <c r="V8" s="1">
        <v>11028</v>
      </c>
      <c r="W8" s="1">
        <v>10659</v>
      </c>
      <c r="X8" s="1">
        <v>10224</v>
      </c>
      <c r="Y8" s="1">
        <v>11376</v>
      </c>
      <c r="Z8" s="1">
        <v>11351</v>
      </c>
      <c r="AA8" s="1">
        <v>9611</v>
      </c>
    </row>
    <row r="9" spans="1:27" s="5" customFormat="1" x14ac:dyDescent="0.2">
      <c r="B9" s="193"/>
      <c r="C9" s="18" t="s">
        <v>3</v>
      </c>
      <c r="D9" s="39">
        <v>98.2</v>
      </c>
      <c r="E9" s="39">
        <v>98.1</v>
      </c>
      <c r="F9" s="39">
        <v>99.3</v>
      </c>
      <c r="G9" s="2">
        <v>99.3</v>
      </c>
      <c r="H9" s="2">
        <v>99.5</v>
      </c>
      <c r="I9" s="2">
        <v>99.4</v>
      </c>
      <c r="J9" s="2">
        <v>98.9</v>
      </c>
      <c r="K9" s="2">
        <v>99.7</v>
      </c>
      <c r="L9" s="2">
        <v>99.2</v>
      </c>
      <c r="M9" s="2">
        <v>99.5</v>
      </c>
      <c r="N9" s="2">
        <v>99</v>
      </c>
      <c r="O9" s="2">
        <v>99.4</v>
      </c>
      <c r="P9" s="2">
        <v>98.9</v>
      </c>
      <c r="Q9" s="2">
        <v>98.8</v>
      </c>
      <c r="R9" s="2">
        <v>98.5</v>
      </c>
      <c r="S9" s="2">
        <v>99.2</v>
      </c>
      <c r="T9" s="2">
        <v>99.9</v>
      </c>
      <c r="U9" s="2">
        <v>99.9</v>
      </c>
      <c r="V9" s="2">
        <v>99.7</v>
      </c>
      <c r="W9" s="2">
        <v>99.4</v>
      </c>
      <c r="X9" s="2">
        <v>99.7</v>
      </c>
      <c r="Y9" s="2">
        <v>98.8</v>
      </c>
      <c r="Z9" s="2">
        <v>98.9</v>
      </c>
      <c r="AA9" s="2">
        <v>99.3</v>
      </c>
    </row>
    <row r="10" spans="1:27" s="5" customFormat="1" x14ac:dyDescent="0.2">
      <c r="B10" s="194" t="s">
        <v>337</v>
      </c>
      <c r="C10" s="18" t="s">
        <v>2</v>
      </c>
      <c r="D10" s="39">
        <v>952525</v>
      </c>
      <c r="E10" s="39">
        <v>98056</v>
      </c>
      <c r="F10" s="39">
        <v>1682</v>
      </c>
      <c r="G10" s="1">
        <v>77</v>
      </c>
      <c r="H10" s="1">
        <v>60</v>
      </c>
      <c r="I10" s="1">
        <v>69</v>
      </c>
      <c r="J10" s="1">
        <v>121</v>
      </c>
      <c r="K10" s="1">
        <v>37</v>
      </c>
      <c r="L10" s="1">
        <v>80</v>
      </c>
      <c r="M10" s="1">
        <v>58</v>
      </c>
      <c r="N10" s="1">
        <v>98</v>
      </c>
      <c r="O10" s="1">
        <v>66</v>
      </c>
      <c r="P10" s="1">
        <v>122</v>
      </c>
      <c r="Q10" s="1">
        <v>125</v>
      </c>
      <c r="R10" s="1">
        <v>195</v>
      </c>
      <c r="S10" s="1">
        <v>88</v>
      </c>
      <c r="T10" s="1">
        <v>10</v>
      </c>
      <c r="U10" s="1">
        <v>16</v>
      </c>
      <c r="V10" s="1">
        <v>34</v>
      </c>
      <c r="W10" s="1">
        <v>69</v>
      </c>
      <c r="X10" s="1">
        <v>26</v>
      </c>
      <c r="Y10" s="1">
        <v>134</v>
      </c>
      <c r="Z10" s="1">
        <v>126</v>
      </c>
      <c r="AA10" s="1">
        <v>71</v>
      </c>
    </row>
    <row r="11" spans="1:27" s="5" customFormat="1" x14ac:dyDescent="0.2">
      <c r="B11" s="193"/>
      <c r="C11" s="18" t="s">
        <v>3</v>
      </c>
      <c r="D11" s="39">
        <v>1.8</v>
      </c>
      <c r="E11" s="39">
        <v>1.9</v>
      </c>
      <c r="F11" s="39">
        <v>0.7</v>
      </c>
      <c r="G11" s="2">
        <v>0.7</v>
      </c>
      <c r="H11" s="2">
        <v>0.5</v>
      </c>
      <c r="I11" s="2">
        <v>0.6</v>
      </c>
      <c r="J11" s="2">
        <v>1.1000000000000001</v>
      </c>
      <c r="K11" s="2">
        <v>0.3</v>
      </c>
      <c r="L11" s="2">
        <v>0.8</v>
      </c>
      <c r="M11" s="2">
        <v>0.5</v>
      </c>
      <c r="N11" s="2">
        <v>1</v>
      </c>
      <c r="O11" s="2">
        <v>0.6</v>
      </c>
      <c r="P11" s="2">
        <v>1.1000000000000001</v>
      </c>
      <c r="Q11" s="2">
        <v>1.2</v>
      </c>
      <c r="R11" s="2">
        <v>1.5</v>
      </c>
      <c r="S11" s="2">
        <v>0.8</v>
      </c>
      <c r="T11" s="2">
        <v>0.1</v>
      </c>
      <c r="U11" s="2">
        <v>0.1</v>
      </c>
      <c r="V11" s="2">
        <v>0.3</v>
      </c>
      <c r="W11" s="2">
        <v>0.6</v>
      </c>
      <c r="X11" s="2">
        <v>0.3</v>
      </c>
      <c r="Y11" s="2">
        <v>1.2</v>
      </c>
      <c r="Z11" s="2">
        <v>1.1000000000000001</v>
      </c>
      <c r="AA11" s="2">
        <v>0.7</v>
      </c>
    </row>
    <row r="12" spans="1:27" s="5" customFormat="1" ht="12.75" customHeight="1" x14ac:dyDescent="0.2">
      <c r="B12" s="18" t="s">
        <v>315</v>
      </c>
      <c r="C12" s="18" t="s">
        <v>2</v>
      </c>
      <c r="D12" s="39">
        <v>650145</v>
      </c>
      <c r="E12" s="39">
        <v>54976</v>
      </c>
      <c r="F12" s="39">
        <v>1681</v>
      </c>
      <c r="G12" s="1">
        <v>68</v>
      </c>
      <c r="H12" s="1">
        <v>77</v>
      </c>
      <c r="I12" s="1">
        <v>76</v>
      </c>
      <c r="J12" s="1">
        <v>86</v>
      </c>
      <c r="K12" s="1">
        <v>119</v>
      </c>
      <c r="L12" s="1">
        <v>42</v>
      </c>
      <c r="M12" s="1">
        <v>59</v>
      </c>
      <c r="N12" s="1">
        <v>93</v>
      </c>
      <c r="O12" s="1">
        <v>65</v>
      </c>
      <c r="P12" s="1">
        <v>74</v>
      </c>
      <c r="Q12" s="1">
        <v>45</v>
      </c>
      <c r="R12" s="1">
        <v>78</v>
      </c>
      <c r="S12" s="1">
        <v>88</v>
      </c>
      <c r="T12" s="1">
        <v>183</v>
      </c>
      <c r="U12" s="1">
        <v>147</v>
      </c>
      <c r="V12" s="1">
        <v>68</v>
      </c>
      <c r="W12" s="1">
        <v>94</v>
      </c>
      <c r="X12" s="1">
        <v>41</v>
      </c>
      <c r="Y12" s="1">
        <v>60</v>
      </c>
      <c r="Z12" s="1">
        <v>61</v>
      </c>
      <c r="AA12" s="1">
        <v>57</v>
      </c>
    </row>
    <row r="13" spans="1:27" s="5" customFormat="1" ht="12.75" customHeight="1" x14ac:dyDescent="0.2">
      <c r="B13" s="18" t="s">
        <v>316</v>
      </c>
      <c r="C13" s="18" t="s">
        <v>2</v>
      </c>
      <c r="D13" s="39">
        <v>13027842.85</v>
      </c>
      <c r="E13" s="39">
        <v>1540763.62</v>
      </c>
      <c r="F13" s="39">
        <v>32905.31</v>
      </c>
      <c r="G13" s="13">
        <v>398.15</v>
      </c>
      <c r="H13" s="13">
        <v>832.02</v>
      </c>
      <c r="I13" s="13">
        <v>1837.46</v>
      </c>
      <c r="J13" s="13">
        <v>710.52</v>
      </c>
      <c r="K13" s="13">
        <v>1389.05</v>
      </c>
      <c r="L13" s="13">
        <v>680.43</v>
      </c>
      <c r="M13" s="13">
        <v>878.06</v>
      </c>
      <c r="N13" s="13">
        <v>858.77</v>
      </c>
      <c r="O13" s="13">
        <v>866.07</v>
      </c>
      <c r="P13" s="13">
        <v>289.58</v>
      </c>
      <c r="Q13" s="13">
        <v>752.85</v>
      </c>
      <c r="R13" s="13">
        <v>2105.58</v>
      </c>
      <c r="S13" s="13">
        <v>334.08</v>
      </c>
      <c r="T13" s="13">
        <v>9141.2000000000007</v>
      </c>
      <c r="U13" s="13">
        <v>7552.84</v>
      </c>
      <c r="V13" s="13">
        <v>781.17</v>
      </c>
      <c r="W13" s="13">
        <v>757.48</v>
      </c>
      <c r="X13" s="13">
        <v>375.35</v>
      </c>
      <c r="Y13" s="13">
        <v>720.66</v>
      </c>
      <c r="Z13" s="13">
        <v>491.21</v>
      </c>
      <c r="AA13" s="13">
        <v>1152.78</v>
      </c>
    </row>
    <row r="14" spans="1:27" s="5" customFormat="1" ht="12.75" customHeight="1" x14ac:dyDescent="0.2">
      <c r="B14" s="18" t="s">
        <v>317</v>
      </c>
      <c r="C14" s="18" t="s">
        <v>2</v>
      </c>
      <c r="D14" s="39">
        <v>4.0999999999999996</v>
      </c>
      <c r="E14" s="39">
        <v>3.4</v>
      </c>
      <c r="F14" s="39">
        <v>7</v>
      </c>
      <c r="G14" s="2">
        <v>27.9</v>
      </c>
      <c r="H14" s="2">
        <v>13.2</v>
      </c>
      <c r="I14" s="2">
        <v>5.8</v>
      </c>
      <c r="J14" s="2">
        <v>15</v>
      </c>
      <c r="K14" s="2">
        <v>7.7</v>
      </c>
      <c r="L14" s="2">
        <v>15.4</v>
      </c>
      <c r="M14" s="2">
        <v>13.5</v>
      </c>
      <c r="N14" s="2">
        <v>11.4</v>
      </c>
      <c r="O14" s="2">
        <v>13.7</v>
      </c>
      <c r="P14" s="2">
        <v>36.9</v>
      </c>
      <c r="Q14" s="2">
        <v>14.3</v>
      </c>
      <c r="R14" s="2">
        <v>6.3</v>
      </c>
      <c r="S14" s="2">
        <v>32.4</v>
      </c>
      <c r="T14" s="2">
        <v>1.3</v>
      </c>
      <c r="U14" s="2">
        <v>1.5</v>
      </c>
      <c r="V14" s="2">
        <v>14.2</v>
      </c>
      <c r="W14" s="2">
        <v>14.2</v>
      </c>
      <c r="X14" s="2">
        <v>27.3</v>
      </c>
      <c r="Y14" s="2">
        <v>16</v>
      </c>
      <c r="Z14" s="2">
        <v>23.4</v>
      </c>
      <c r="AA14" s="2">
        <v>8.4</v>
      </c>
    </row>
    <row r="15" spans="1:27" s="5" customFormat="1" x14ac:dyDescent="0.2">
      <c r="A15" s="5" t="s">
        <v>32</v>
      </c>
      <c r="B15" s="190" t="s">
        <v>13</v>
      </c>
      <c r="C15" s="15" t="s">
        <v>2</v>
      </c>
      <c r="D15" s="39">
        <v>3318449</v>
      </c>
      <c r="E15" s="39">
        <v>328447</v>
      </c>
      <c r="F15" s="39">
        <v>13957</v>
      </c>
      <c r="G15" s="6">
        <v>680</v>
      </c>
      <c r="H15" s="6">
        <v>746</v>
      </c>
      <c r="I15" s="6">
        <v>661</v>
      </c>
      <c r="J15" s="6">
        <v>589</v>
      </c>
      <c r="K15" s="6">
        <v>534</v>
      </c>
      <c r="L15" s="6">
        <v>714</v>
      </c>
      <c r="M15" s="6">
        <v>872</v>
      </c>
      <c r="N15" s="6">
        <v>458</v>
      </c>
      <c r="O15" s="6">
        <v>735</v>
      </c>
      <c r="P15" s="6">
        <v>794</v>
      </c>
      <c r="Q15" s="6">
        <v>650</v>
      </c>
      <c r="R15" s="6">
        <v>847</v>
      </c>
      <c r="S15" s="6">
        <v>663</v>
      </c>
      <c r="T15" s="6">
        <v>522</v>
      </c>
      <c r="U15" s="6">
        <v>642</v>
      </c>
      <c r="V15" s="6">
        <v>589</v>
      </c>
      <c r="W15" s="6">
        <v>584</v>
      </c>
      <c r="X15" s="6">
        <v>692</v>
      </c>
      <c r="Y15" s="6">
        <v>742</v>
      </c>
      <c r="Z15" s="6">
        <v>698</v>
      </c>
      <c r="AA15" s="6">
        <v>545</v>
      </c>
    </row>
    <row r="16" spans="1:27" s="5" customFormat="1" x14ac:dyDescent="0.2">
      <c r="B16" s="191"/>
      <c r="C16" s="15" t="s">
        <v>3</v>
      </c>
      <c r="D16" s="39">
        <v>6.3</v>
      </c>
      <c r="E16" s="39">
        <v>6.2</v>
      </c>
      <c r="F16" s="39">
        <v>6</v>
      </c>
      <c r="G16" s="7">
        <v>6.1</v>
      </c>
      <c r="H16" s="7">
        <v>6.8</v>
      </c>
      <c r="I16" s="7">
        <v>6.2</v>
      </c>
      <c r="J16" s="7">
        <v>5.5</v>
      </c>
      <c r="K16" s="7">
        <v>5</v>
      </c>
      <c r="L16" s="7">
        <v>6.8</v>
      </c>
      <c r="M16" s="7">
        <v>7.3</v>
      </c>
      <c r="N16" s="7">
        <v>4.7</v>
      </c>
      <c r="O16" s="7">
        <v>6.2</v>
      </c>
      <c r="P16" s="7">
        <v>7.4</v>
      </c>
      <c r="Q16" s="7">
        <v>6</v>
      </c>
      <c r="R16" s="7">
        <v>6.4</v>
      </c>
      <c r="S16" s="7">
        <v>6.1</v>
      </c>
      <c r="T16" s="7">
        <v>4.5</v>
      </c>
      <c r="U16" s="7">
        <v>5.7</v>
      </c>
      <c r="V16" s="7">
        <v>5.3</v>
      </c>
      <c r="W16" s="7">
        <v>5.4</v>
      </c>
      <c r="X16" s="7">
        <v>6.8</v>
      </c>
      <c r="Y16" s="7">
        <v>6.4</v>
      </c>
      <c r="Z16" s="7">
        <v>6.1</v>
      </c>
      <c r="AA16" s="7">
        <v>5.6</v>
      </c>
    </row>
    <row r="17" spans="2:27" s="5" customFormat="1" x14ac:dyDescent="0.2">
      <c r="B17" s="190" t="s">
        <v>14</v>
      </c>
      <c r="C17" s="15" t="s">
        <v>2</v>
      </c>
      <c r="D17" s="39">
        <v>1827610</v>
      </c>
      <c r="E17" s="39">
        <v>182818</v>
      </c>
      <c r="F17" s="39">
        <v>7798</v>
      </c>
      <c r="G17" s="6">
        <v>324</v>
      </c>
      <c r="H17" s="6">
        <v>406</v>
      </c>
      <c r="I17" s="6">
        <v>342</v>
      </c>
      <c r="J17" s="6">
        <v>372</v>
      </c>
      <c r="K17" s="6">
        <v>350</v>
      </c>
      <c r="L17" s="6">
        <v>377</v>
      </c>
      <c r="M17" s="6">
        <v>428</v>
      </c>
      <c r="N17" s="6">
        <v>242</v>
      </c>
      <c r="O17" s="6">
        <v>419</v>
      </c>
      <c r="P17" s="6">
        <v>340</v>
      </c>
      <c r="Q17" s="6">
        <v>348</v>
      </c>
      <c r="R17" s="6">
        <v>477</v>
      </c>
      <c r="S17" s="6">
        <v>368</v>
      </c>
      <c r="T17" s="6">
        <v>403</v>
      </c>
      <c r="U17" s="6">
        <v>351</v>
      </c>
      <c r="V17" s="6">
        <v>355</v>
      </c>
      <c r="W17" s="6">
        <v>375</v>
      </c>
      <c r="X17" s="6">
        <v>423</v>
      </c>
      <c r="Y17" s="6">
        <v>372</v>
      </c>
      <c r="Z17" s="6">
        <v>396</v>
      </c>
      <c r="AA17" s="6">
        <v>330</v>
      </c>
    </row>
    <row r="18" spans="2:27" s="5" customFormat="1" x14ac:dyDescent="0.2">
      <c r="B18" s="191"/>
      <c r="C18" s="15" t="s">
        <v>3</v>
      </c>
      <c r="D18" s="39">
        <v>3.4</v>
      </c>
      <c r="E18" s="44">
        <v>3.5</v>
      </c>
      <c r="F18" s="39">
        <v>3.4</v>
      </c>
      <c r="G18" s="7">
        <v>2.9</v>
      </c>
      <c r="H18" s="7">
        <v>3.7</v>
      </c>
      <c r="I18" s="7">
        <v>3.2</v>
      </c>
      <c r="J18" s="7">
        <v>3.5</v>
      </c>
      <c r="K18" s="7">
        <v>3.3</v>
      </c>
      <c r="L18" s="7">
        <v>3.6</v>
      </c>
      <c r="M18" s="7">
        <v>3.6</v>
      </c>
      <c r="N18" s="7">
        <v>2.5</v>
      </c>
      <c r="O18" s="7">
        <v>3.5</v>
      </c>
      <c r="P18" s="7">
        <v>3.2</v>
      </c>
      <c r="Q18" s="7">
        <v>3.2</v>
      </c>
      <c r="R18" s="7">
        <v>3.6</v>
      </c>
      <c r="S18" s="7">
        <v>3.4</v>
      </c>
      <c r="T18" s="7">
        <v>3.5</v>
      </c>
      <c r="U18" s="7">
        <v>3.1</v>
      </c>
      <c r="V18" s="7">
        <v>3.2</v>
      </c>
      <c r="W18" s="7">
        <v>3.5</v>
      </c>
      <c r="X18" s="7">
        <v>4.0999999999999996</v>
      </c>
      <c r="Y18" s="7">
        <v>3.2</v>
      </c>
      <c r="Z18" s="7">
        <v>3.5</v>
      </c>
      <c r="AA18" s="7">
        <v>3.4</v>
      </c>
    </row>
    <row r="19" spans="2:27" s="5" customFormat="1" x14ac:dyDescent="0.2">
      <c r="B19" s="190" t="s">
        <v>15</v>
      </c>
      <c r="C19" s="15" t="s">
        <v>2</v>
      </c>
      <c r="D19" s="39">
        <v>1145022</v>
      </c>
      <c r="E19" s="39">
        <v>114657</v>
      </c>
      <c r="F19" s="39">
        <v>4764</v>
      </c>
      <c r="G19" s="6">
        <v>177</v>
      </c>
      <c r="H19" s="6">
        <v>227</v>
      </c>
      <c r="I19" s="6">
        <v>262</v>
      </c>
      <c r="J19" s="6">
        <v>218</v>
      </c>
      <c r="K19" s="6">
        <v>210</v>
      </c>
      <c r="L19" s="6">
        <v>239</v>
      </c>
      <c r="M19" s="6">
        <v>270</v>
      </c>
      <c r="N19" s="6">
        <v>161</v>
      </c>
      <c r="O19" s="6">
        <v>226</v>
      </c>
      <c r="P19" s="6">
        <v>194</v>
      </c>
      <c r="Q19" s="6">
        <v>213</v>
      </c>
      <c r="R19" s="6">
        <v>274</v>
      </c>
      <c r="S19" s="6">
        <v>205</v>
      </c>
      <c r="T19" s="6">
        <v>216</v>
      </c>
      <c r="U19" s="6">
        <v>232</v>
      </c>
      <c r="V19" s="6">
        <v>215</v>
      </c>
      <c r="W19" s="6">
        <v>266</v>
      </c>
      <c r="X19" s="6">
        <v>272</v>
      </c>
      <c r="Y19" s="6">
        <v>250</v>
      </c>
      <c r="Z19" s="6">
        <v>250</v>
      </c>
      <c r="AA19" s="6">
        <v>187</v>
      </c>
    </row>
    <row r="20" spans="2:27" s="5" customFormat="1" x14ac:dyDescent="0.2">
      <c r="B20" s="191"/>
      <c r="C20" s="15" t="s">
        <v>3</v>
      </c>
      <c r="D20" s="39">
        <v>2.2000000000000002</v>
      </c>
      <c r="E20" s="39">
        <v>2.2000000000000002</v>
      </c>
      <c r="F20" s="39">
        <v>2.1</v>
      </c>
      <c r="G20" s="7">
        <v>1.6</v>
      </c>
      <c r="H20" s="7">
        <v>2.1</v>
      </c>
      <c r="I20" s="7">
        <v>2.5</v>
      </c>
      <c r="J20" s="7">
        <v>2</v>
      </c>
      <c r="K20" s="7">
        <v>2</v>
      </c>
      <c r="L20" s="7">
        <v>2.2999999999999998</v>
      </c>
      <c r="M20" s="7">
        <v>2.2999999999999998</v>
      </c>
      <c r="N20" s="7">
        <v>1.6</v>
      </c>
      <c r="O20" s="7">
        <v>1.9</v>
      </c>
      <c r="P20" s="7">
        <v>1.8</v>
      </c>
      <c r="Q20" s="7">
        <v>2</v>
      </c>
      <c r="R20" s="7">
        <v>2.1</v>
      </c>
      <c r="S20" s="7">
        <v>1.9</v>
      </c>
      <c r="T20" s="7">
        <v>1.9</v>
      </c>
      <c r="U20" s="7">
        <v>2</v>
      </c>
      <c r="V20" s="7">
        <v>1.9</v>
      </c>
      <c r="W20" s="7">
        <v>2.5</v>
      </c>
      <c r="X20" s="7">
        <v>2.7</v>
      </c>
      <c r="Y20" s="7">
        <v>2.2000000000000002</v>
      </c>
      <c r="Z20" s="7">
        <v>2.2000000000000002</v>
      </c>
      <c r="AA20" s="7">
        <v>1.9</v>
      </c>
    </row>
    <row r="21" spans="2:27" s="5" customFormat="1" x14ac:dyDescent="0.2">
      <c r="B21" s="190" t="s">
        <v>16</v>
      </c>
      <c r="C21" s="15" t="s">
        <v>2</v>
      </c>
      <c r="D21" s="39">
        <v>3080929</v>
      </c>
      <c r="E21" s="39">
        <v>306096</v>
      </c>
      <c r="F21" s="39">
        <v>13378</v>
      </c>
      <c r="G21" s="6">
        <v>537</v>
      </c>
      <c r="H21" s="6">
        <v>703</v>
      </c>
      <c r="I21" s="6">
        <v>626</v>
      </c>
      <c r="J21" s="6">
        <v>616</v>
      </c>
      <c r="K21" s="6">
        <v>618</v>
      </c>
      <c r="L21" s="6">
        <v>582</v>
      </c>
      <c r="M21" s="6">
        <v>710</v>
      </c>
      <c r="N21" s="6">
        <v>516</v>
      </c>
      <c r="O21" s="6">
        <v>715</v>
      </c>
      <c r="P21" s="6">
        <v>536</v>
      </c>
      <c r="Q21" s="6">
        <v>593</v>
      </c>
      <c r="R21" s="6">
        <v>847</v>
      </c>
      <c r="S21" s="6">
        <v>613</v>
      </c>
      <c r="T21" s="6">
        <v>684</v>
      </c>
      <c r="U21" s="6">
        <v>669</v>
      </c>
      <c r="V21" s="6">
        <v>626</v>
      </c>
      <c r="W21" s="6">
        <v>645</v>
      </c>
      <c r="X21" s="6">
        <v>669</v>
      </c>
      <c r="Y21" s="6">
        <v>608</v>
      </c>
      <c r="Z21" s="6">
        <v>724</v>
      </c>
      <c r="AA21" s="6">
        <v>541</v>
      </c>
    </row>
    <row r="22" spans="2:27" s="5" customFormat="1" x14ac:dyDescent="0.2">
      <c r="B22" s="191"/>
      <c r="C22" s="15" t="s">
        <v>3</v>
      </c>
      <c r="D22" s="39">
        <v>5.8</v>
      </c>
      <c r="E22" s="39">
        <v>5.8</v>
      </c>
      <c r="F22" s="39">
        <v>5.8</v>
      </c>
      <c r="G22" s="7">
        <v>4.8</v>
      </c>
      <c r="H22" s="7">
        <v>6.4</v>
      </c>
      <c r="I22" s="7">
        <v>5.9</v>
      </c>
      <c r="J22" s="7">
        <v>5.8</v>
      </c>
      <c r="K22" s="7">
        <v>5.8</v>
      </c>
      <c r="L22" s="7">
        <v>5.5</v>
      </c>
      <c r="M22" s="7">
        <v>6</v>
      </c>
      <c r="N22" s="7">
        <v>5.3</v>
      </c>
      <c r="O22" s="7">
        <v>6</v>
      </c>
      <c r="P22" s="7">
        <v>5</v>
      </c>
      <c r="Q22" s="7">
        <v>5.5</v>
      </c>
      <c r="R22" s="7">
        <v>6.4</v>
      </c>
      <c r="S22" s="7">
        <v>5.7</v>
      </c>
      <c r="T22" s="7">
        <v>5.9</v>
      </c>
      <c r="U22" s="7">
        <v>5.9</v>
      </c>
      <c r="V22" s="7">
        <v>5.7</v>
      </c>
      <c r="W22" s="7">
        <v>6</v>
      </c>
      <c r="X22" s="7">
        <v>6.5</v>
      </c>
      <c r="Y22" s="7">
        <v>5.3</v>
      </c>
      <c r="Z22" s="7">
        <v>6.3</v>
      </c>
      <c r="AA22" s="7">
        <v>5.6</v>
      </c>
    </row>
    <row r="23" spans="2:27" s="5" customFormat="1" x14ac:dyDescent="0.2">
      <c r="B23" s="190" t="s">
        <v>17</v>
      </c>
      <c r="C23" s="15" t="s">
        <v>2</v>
      </c>
      <c r="D23" s="39">
        <v>650826</v>
      </c>
      <c r="E23" s="39">
        <v>65774</v>
      </c>
      <c r="F23" s="39">
        <v>2989</v>
      </c>
      <c r="G23" s="6">
        <v>129</v>
      </c>
      <c r="H23" s="6">
        <v>147</v>
      </c>
      <c r="I23" s="6">
        <v>138</v>
      </c>
      <c r="J23" s="6">
        <v>127</v>
      </c>
      <c r="K23" s="6">
        <v>143</v>
      </c>
      <c r="L23" s="6">
        <v>154</v>
      </c>
      <c r="M23" s="6">
        <v>156</v>
      </c>
      <c r="N23" s="6">
        <v>110</v>
      </c>
      <c r="O23" s="6">
        <v>151</v>
      </c>
      <c r="P23" s="6">
        <v>169</v>
      </c>
      <c r="Q23" s="6">
        <v>117</v>
      </c>
      <c r="R23" s="6">
        <v>184</v>
      </c>
      <c r="S23" s="6">
        <v>133</v>
      </c>
      <c r="T23" s="6">
        <v>151</v>
      </c>
      <c r="U23" s="6">
        <v>148</v>
      </c>
      <c r="V23" s="6">
        <v>133</v>
      </c>
      <c r="W23" s="6">
        <v>155</v>
      </c>
      <c r="X23" s="6">
        <v>152</v>
      </c>
      <c r="Y23" s="6">
        <v>127</v>
      </c>
      <c r="Z23" s="6">
        <v>144</v>
      </c>
      <c r="AA23" s="6">
        <v>121</v>
      </c>
    </row>
    <row r="24" spans="2:27" s="5" customFormat="1" x14ac:dyDescent="0.2">
      <c r="B24" s="191"/>
      <c r="C24" s="15" t="s">
        <v>3</v>
      </c>
      <c r="D24" s="39">
        <v>1.2</v>
      </c>
      <c r="E24" s="39">
        <v>1.2</v>
      </c>
      <c r="F24" s="39">
        <v>1.3</v>
      </c>
      <c r="G24" s="7">
        <v>1.2</v>
      </c>
      <c r="H24" s="7">
        <v>1.3</v>
      </c>
      <c r="I24" s="7">
        <v>1.3</v>
      </c>
      <c r="J24" s="7">
        <v>1.2</v>
      </c>
      <c r="K24" s="7">
        <v>1.3</v>
      </c>
      <c r="L24" s="7">
        <v>1.5</v>
      </c>
      <c r="M24" s="7">
        <v>1.3</v>
      </c>
      <c r="N24" s="7">
        <v>1.1000000000000001</v>
      </c>
      <c r="O24" s="7">
        <v>1.3</v>
      </c>
      <c r="P24" s="7">
        <v>1.6</v>
      </c>
      <c r="Q24" s="7">
        <v>1.1000000000000001</v>
      </c>
      <c r="R24" s="7">
        <v>1.4</v>
      </c>
      <c r="S24" s="7">
        <v>1.2</v>
      </c>
      <c r="T24" s="7">
        <v>1.3</v>
      </c>
      <c r="U24" s="7">
        <v>1.3</v>
      </c>
      <c r="V24" s="7">
        <v>1.2</v>
      </c>
      <c r="W24" s="7">
        <v>1.4</v>
      </c>
      <c r="X24" s="7">
        <v>1.5</v>
      </c>
      <c r="Y24" s="7">
        <v>1.1000000000000001</v>
      </c>
      <c r="Z24" s="7">
        <v>1.3</v>
      </c>
      <c r="AA24" s="7">
        <v>1.2</v>
      </c>
    </row>
    <row r="25" spans="2:27" s="5" customFormat="1" x14ac:dyDescent="0.2">
      <c r="B25" s="190" t="s">
        <v>18</v>
      </c>
      <c r="C25" s="15" t="s">
        <v>2</v>
      </c>
      <c r="D25" s="39">
        <v>1314124</v>
      </c>
      <c r="E25" s="39">
        <v>130943</v>
      </c>
      <c r="F25" s="39">
        <v>5804</v>
      </c>
      <c r="G25" s="6">
        <v>230</v>
      </c>
      <c r="H25" s="6">
        <v>321</v>
      </c>
      <c r="I25" s="6">
        <v>272</v>
      </c>
      <c r="J25" s="6">
        <v>239</v>
      </c>
      <c r="K25" s="6">
        <v>264</v>
      </c>
      <c r="L25" s="6">
        <v>253</v>
      </c>
      <c r="M25" s="6">
        <v>334</v>
      </c>
      <c r="N25" s="6">
        <v>251</v>
      </c>
      <c r="O25" s="6">
        <v>291</v>
      </c>
      <c r="P25" s="6">
        <v>230</v>
      </c>
      <c r="Q25" s="6">
        <v>254</v>
      </c>
      <c r="R25" s="6">
        <v>360</v>
      </c>
      <c r="S25" s="6">
        <v>279</v>
      </c>
      <c r="T25" s="6">
        <v>268</v>
      </c>
      <c r="U25" s="6">
        <v>296</v>
      </c>
      <c r="V25" s="6">
        <v>267</v>
      </c>
      <c r="W25" s="6">
        <v>274</v>
      </c>
      <c r="X25" s="6">
        <v>303</v>
      </c>
      <c r="Y25" s="6">
        <v>302</v>
      </c>
      <c r="Z25" s="6">
        <v>273</v>
      </c>
      <c r="AA25" s="6">
        <v>243</v>
      </c>
    </row>
    <row r="26" spans="2:27" s="5" customFormat="1" x14ac:dyDescent="0.2">
      <c r="B26" s="191"/>
      <c r="C26" s="15" t="s">
        <v>3</v>
      </c>
      <c r="D26" s="39">
        <v>2.5</v>
      </c>
      <c r="E26" s="39">
        <v>2.5</v>
      </c>
      <c r="F26" s="39">
        <v>2.5</v>
      </c>
      <c r="G26" s="7">
        <v>2.1</v>
      </c>
      <c r="H26" s="7">
        <v>2.9</v>
      </c>
      <c r="I26" s="7">
        <v>2.5</v>
      </c>
      <c r="J26" s="7">
        <v>2.2000000000000002</v>
      </c>
      <c r="K26" s="7">
        <v>2.5</v>
      </c>
      <c r="L26" s="7">
        <v>2.4</v>
      </c>
      <c r="M26" s="7">
        <v>2.8</v>
      </c>
      <c r="N26" s="7">
        <v>2.6</v>
      </c>
      <c r="O26" s="7">
        <v>2.5</v>
      </c>
      <c r="P26" s="7">
        <v>2.2000000000000002</v>
      </c>
      <c r="Q26" s="7">
        <v>2.4</v>
      </c>
      <c r="R26" s="7">
        <v>2.7</v>
      </c>
      <c r="S26" s="7">
        <v>2.6</v>
      </c>
      <c r="T26" s="7">
        <v>2.2999999999999998</v>
      </c>
      <c r="U26" s="7">
        <v>2.6</v>
      </c>
      <c r="V26" s="7">
        <v>2.4</v>
      </c>
      <c r="W26" s="7">
        <v>2.6</v>
      </c>
      <c r="X26" s="7">
        <v>3</v>
      </c>
      <c r="Y26" s="7">
        <v>2.6</v>
      </c>
      <c r="Z26" s="7">
        <v>2.4</v>
      </c>
      <c r="AA26" s="7">
        <v>2.5</v>
      </c>
    </row>
    <row r="27" spans="2:27" s="5" customFormat="1" x14ac:dyDescent="0.2">
      <c r="B27" s="190" t="s">
        <v>19</v>
      </c>
      <c r="C27" s="15" t="s">
        <v>2</v>
      </c>
      <c r="D27" s="39">
        <v>1375315</v>
      </c>
      <c r="E27" s="39">
        <v>151928</v>
      </c>
      <c r="F27" s="39">
        <v>5597</v>
      </c>
      <c r="G27" s="6">
        <v>301</v>
      </c>
      <c r="H27" s="6">
        <v>265</v>
      </c>
      <c r="I27" s="6">
        <v>226</v>
      </c>
      <c r="J27" s="6">
        <v>231</v>
      </c>
      <c r="K27" s="6">
        <v>240</v>
      </c>
      <c r="L27" s="6">
        <v>324</v>
      </c>
      <c r="M27" s="6">
        <v>317</v>
      </c>
      <c r="N27" s="6">
        <v>206</v>
      </c>
      <c r="O27" s="6">
        <v>271</v>
      </c>
      <c r="P27" s="6">
        <v>258</v>
      </c>
      <c r="Q27" s="6">
        <v>260</v>
      </c>
      <c r="R27" s="6">
        <v>307</v>
      </c>
      <c r="S27" s="6">
        <v>242</v>
      </c>
      <c r="T27" s="6">
        <v>213</v>
      </c>
      <c r="U27" s="6">
        <v>243</v>
      </c>
      <c r="V27" s="6">
        <v>253</v>
      </c>
      <c r="W27" s="6">
        <v>292</v>
      </c>
      <c r="X27" s="6">
        <v>284</v>
      </c>
      <c r="Y27" s="6">
        <v>304</v>
      </c>
      <c r="Z27" s="6">
        <v>302</v>
      </c>
      <c r="AA27" s="6">
        <v>258</v>
      </c>
    </row>
    <row r="28" spans="2:27" s="5" customFormat="1" x14ac:dyDescent="0.2">
      <c r="B28" s="191"/>
      <c r="C28" s="15" t="s">
        <v>3</v>
      </c>
      <c r="D28" s="39">
        <v>2.6</v>
      </c>
      <c r="E28" s="39">
        <v>2.9</v>
      </c>
      <c r="F28" s="39">
        <v>2.4</v>
      </c>
      <c r="G28" s="7">
        <v>2.7</v>
      </c>
      <c r="H28" s="7">
        <v>2.4</v>
      </c>
      <c r="I28" s="7">
        <v>2.1</v>
      </c>
      <c r="J28" s="7">
        <v>2.2000000000000002</v>
      </c>
      <c r="K28" s="7">
        <v>2.2000000000000002</v>
      </c>
      <c r="L28" s="7">
        <v>3.1</v>
      </c>
      <c r="M28" s="7">
        <v>2.7</v>
      </c>
      <c r="N28" s="7">
        <v>2.1</v>
      </c>
      <c r="O28" s="7">
        <v>2.2999999999999998</v>
      </c>
      <c r="P28" s="7">
        <v>2.4</v>
      </c>
      <c r="Q28" s="7">
        <v>2.4</v>
      </c>
      <c r="R28" s="7">
        <v>2.2999999999999998</v>
      </c>
      <c r="S28" s="7">
        <v>2.2000000000000002</v>
      </c>
      <c r="T28" s="7">
        <v>1.8</v>
      </c>
      <c r="U28" s="7">
        <v>2.1</v>
      </c>
      <c r="V28" s="7">
        <v>2.2999999999999998</v>
      </c>
      <c r="W28" s="7">
        <v>2.7</v>
      </c>
      <c r="X28" s="7">
        <v>2.8</v>
      </c>
      <c r="Y28" s="7">
        <v>2.6</v>
      </c>
      <c r="Z28" s="7">
        <v>2.6</v>
      </c>
      <c r="AA28" s="7">
        <v>2.7</v>
      </c>
    </row>
    <row r="29" spans="2:27" s="5" customFormat="1" x14ac:dyDescent="0.2">
      <c r="B29" s="190" t="s">
        <v>20</v>
      </c>
      <c r="C29" s="15" t="s">
        <v>2</v>
      </c>
      <c r="D29" s="39">
        <v>359321</v>
      </c>
      <c r="E29" s="39">
        <v>382679</v>
      </c>
      <c r="F29" s="39">
        <v>13533</v>
      </c>
      <c r="G29" s="6">
        <v>881</v>
      </c>
      <c r="H29" s="6">
        <v>684</v>
      </c>
      <c r="I29" s="6">
        <v>593</v>
      </c>
      <c r="J29" s="6">
        <v>554</v>
      </c>
      <c r="K29" s="6">
        <v>522</v>
      </c>
      <c r="L29" s="6">
        <v>703</v>
      </c>
      <c r="M29" s="6">
        <v>814</v>
      </c>
      <c r="N29" s="6">
        <v>425</v>
      </c>
      <c r="O29" s="6">
        <v>694</v>
      </c>
      <c r="P29" s="6">
        <v>799</v>
      </c>
      <c r="Q29" s="6">
        <v>607</v>
      </c>
      <c r="R29" s="6">
        <v>803</v>
      </c>
      <c r="S29" s="6">
        <v>604</v>
      </c>
      <c r="T29" s="6">
        <v>412</v>
      </c>
      <c r="U29" s="6">
        <v>547</v>
      </c>
      <c r="V29" s="6">
        <v>608</v>
      </c>
      <c r="W29" s="6">
        <v>634</v>
      </c>
      <c r="X29" s="6">
        <v>670</v>
      </c>
      <c r="Y29" s="6">
        <v>707</v>
      </c>
      <c r="Z29" s="6">
        <v>707</v>
      </c>
      <c r="AA29" s="6">
        <v>565</v>
      </c>
    </row>
    <row r="30" spans="2:27" s="5" customFormat="1" x14ac:dyDescent="0.2">
      <c r="B30" s="191"/>
      <c r="C30" s="15" t="s">
        <v>3</v>
      </c>
      <c r="D30" s="39">
        <v>6.8</v>
      </c>
      <c r="E30" s="39">
        <v>7.2</v>
      </c>
      <c r="F30" s="39">
        <v>5.9</v>
      </c>
      <c r="G30" s="7">
        <v>7.9</v>
      </c>
      <c r="H30" s="7">
        <v>6.2</v>
      </c>
      <c r="I30" s="7">
        <v>5.5</v>
      </c>
      <c r="J30" s="7">
        <v>5.2</v>
      </c>
      <c r="K30" s="7">
        <v>4.9000000000000004</v>
      </c>
      <c r="L30" s="7">
        <v>6.7</v>
      </c>
      <c r="M30" s="7">
        <v>6.8</v>
      </c>
      <c r="N30" s="7">
        <v>4.3</v>
      </c>
      <c r="O30" s="7">
        <v>5.9</v>
      </c>
      <c r="P30" s="7">
        <v>7.5</v>
      </c>
      <c r="Q30" s="7">
        <v>5.6</v>
      </c>
      <c r="R30" s="7">
        <v>6.1</v>
      </c>
      <c r="S30" s="7">
        <v>5.6</v>
      </c>
      <c r="T30" s="7">
        <v>3.6</v>
      </c>
      <c r="U30" s="7">
        <v>4.8</v>
      </c>
      <c r="V30" s="7">
        <v>5.5</v>
      </c>
      <c r="W30" s="7">
        <v>5.9</v>
      </c>
      <c r="X30" s="7">
        <v>6.5</v>
      </c>
      <c r="Y30" s="7">
        <v>6.1</v>
      </c>
      <c r="Z30" s="7">
        <v>6.2</v>
      </c>
      <c r="AA30" s="7">
        <v>5.8</v>
      </c>
    </row>
    <row r="31" spans="2:27" s="5" customFormat="1" x14ac:dyDescent="0.2">
      <c r="B31" s="190" t="s">
        <v>21</v>
      </c>
      <c r="C31" s="15" t="s">
        <v>2</v>
      </c>
      <c r="D31" s="39">
        <v>3650881</v>
      </c>
      <c r="E31" s="39">
        <v>347304</v>
      </c>
      <c r="F31" s="39">
        <v>14446</v>
      </c>
      <c r="G31" s="6">
        <v>986</v>
      </c>
      <c r="H31" s="6">
        <v>790</v>
      </c>
      <c r="I31" s="6">
        <v>662</v>
      </c>
      <c r="J31" s="6">
        <v>562</v>
      </c>
      <c r="K31" s="6">
        <v>502</v>
      </c>
      <c r="L31" s="6">
        <v>695</v>
      </c>
      <c r="M31" s="6">
        <v>848</v>
      </c>
      <c r="N31" s="6">
        <v>514</v>
      </c>
      <c r="O31" s="6">
        <v>780</v>
      </c>
      <c r="P31" s="6">
        <v>978</v>
      </c>
      <c r="Q31" s="6">
        <v>647</v>
      </c>
      <c r="R31" s="6">
        <v>891</v>
      </c>
      <c r="S31" s="6">
        <v>722</v>
      </c>
      <c r="T31" s="6">
        <v>354</v>
      </c>
      <c r="U31" s="6">
        <v>562</v>
      </c>
      <c r="V31" s="6">
        <v>629</v>
      </c>
      <c r="W31" s="6">
        <v>581</v>
      </c>
      <c r="X31" s="6">
        <v>651</v>
      </c>
      <c r="Y31" s="6">
        <v>782</v>
      </c>
      <c r="Z31" s="6">
        <v>791</v>
      </c>
      <c r="AA31" s="6">
        <v>519</v>
      </c>
    </row>
    <row r="32" spans="2:27" s="5" customFormat="1" x14ac:dyDescent="0.2">
      <c r="B32" s="191"/>
      <c r="C32" s="15" t="s">
        <v>3</v>
      </c>
      <c r="D32" s="39">
        <v>6.9</v>
      </c>
      <c r="E32" s="39">
        <v>6.6</v>
      </c>
      <c r="F32" s="39">
        <v>6.2</v>
      </c>
      <c r="G32" s="7">
        <v>8.9</v>
      </c>
      <c r="H32" s="7">
        <v>7.2</v>
      </c>
      <c r="I32" s="7">
        <v>6.2</v>
      </c>
      <c r="J32" s="7">
        <v>5.3</v>
      </c>
      <c r="K32" s="7">
        <v>4.7</v>
      </c>
      <c r="L32" s="7">
        <v>6.6</v>
      </c>
      <c r="M32" s="7">
        <v>7.1</v>
      </c>
      <c r="N32" s="7">
        <v>5.3</v>
      </c>
      <c r="O32" s="7">
        <v>6.6</v>
      </c>
      <c r="P32" s="7">
        <v>9.1999999999999993</v>
      </c>
      <c r="Q32" s="7">
        <v>6</v>
      </c>
      <c r="R32" s="7">
        <v>6.8</v>
      </c>
      <c r="S32" s="7">
        <v>6.7</v>
      </c>
      <c r="T32" s="7">
        <v>3.1</v>
      </c>
      <c r="U32" s="7">
        <v>5</v>
      </c>
      <c r="V32" s="7">
        <v>5.7</v>
      </c>
      <c r="W32" s="7">
        <v>5.4</v>
      </c>
      <c r="X32" s="7">
        <v>6.4</v>
      </c>
      <c r="Y32" s="7">
        <v>6.8</v>
      </c>
      <c r="Z32" s="7">
        <v>6.9</v>
      </c>
      <c r="AA32" s="7">
        <v>5.4</v>
      </c>
    </row>
    <row r="33" spans="2:27" s="5" customFormat="1" x14ac:dyDescent="0.2">
      <c r="B33" s="190" t="s">
        <v>22</v>
      </c>
      <c r="C33" s="15" t="s">
        <v>2</v>
      </c>
      <c r="D33" s="39">
        <v>10944271</v>
      </c>
      <c r="E33" s="39">
        <v>1042121</v>
      </c>
      <c r="F33" s="39">
        <v>45725</v>
      </c>
      <c r="G33" s="6">
        <v>2392</v>
      </c>
      <c r="H33" s="6">
        <v>2246</v>
      </c>
      <c r="I33" s="6">
        <v>2131</v>
      </c>
      <c r="J33" s="6">
        <v>2290</v>
      </c>
      <c r="K33" s="6">
        <v>2046</v>
      </c>
      <c r="L33" s="6">
        <v>1899</v>
      </c>
      <c r="M33" s="6">
        <v>2360</v>
      </c>
      <c r="N33" s="6">
        <v>1722</v>
      </c>
      <c r="O33" s="6">
        <v>2409</v>
      </c>
      <c r="P33" s="6">
        <v>2297</v>
      </c>
      <c r="Q33" s="6">
        <v>1941</v>
      </c>
      <c r="R33" s="6">
        <v>2623</v>
      </c>
      <c r="S33" s="6">
        <v>2411</v>
      </c>
      <c r="T33" s="6">
        <v>2095</v>
      </c>
      <c r="U33" s="6">
        <v>2335</v>
      </c>
      <c r="V33" s="6">
        <v>2131</v>
      </c>
      <c r="W33" s="6">
        <v>2063</v>
      </c>
      <c r="X33" s="6">
        <v>1988</v>
      </c>
      <c r="Y33" s="6">
        <v>2206</v>
      </c>
      <c r="Z33" s="6">
        <v>2332</v>
      </c>
      <c r="AA33" s="6">
        <v>1808</v>
      </c>
    </row>
    <row r="34" spans="2:27" s="5" customFormat="1" x14ac:dyDescent="0.2">
      <c r="B34" s="191"/>
      <c r="C34" s="15" t="s">
        <v>3</v>
      </c>
      <c r="D34" s="39">
        <v>20.6</v>
      </c>
      <c r="E34" s="39">
        <v>19.7</v>
      </c>
      <c r="F34" s="39">
        <v>19.8</v>
      </c>
      <c r="G34" s="7">
        <v>21.5</v>
      </c>
      <c r="H34" s="7">
        <v>20.5</v>
      </c>
      <c r="I34" s="7">
        <v>19.899999999999999</v>
      </c>
      <c r="J34" s="7">
        <v>21.4</v>
      </c>
      <c r="K34" s="7">
        <v>19.2</v>
      </c>
      <c r="L34" s="7">
        <v>18.100000000000001</v>
      </c>
      <c r="M34" s="7">
        <v>19.899999999999999</v>
      </c>
      <c r="N34" s="7">
        <v>17.600000000000001</v>
      </c>
      <c r="O34" s="7">
        <v>20.3</v>
      </c>
      <c r="P34" s="7">
        <v>21.5</v>
      </c>
      <c r="Q34" s="7">
        <v>18</v>
      </c>
      <c r="R34" s="7">
        <v>19.899999999999999</v>
      </c>
      <c r="S34" s="7">
        <v>22.3</v>
      </c>
      <c r="T34" s="7">
        <v>18.100000000000001</v>
      </c>
      <c r="U34" s="7">
        <v>20.6</v>
      </c>
      <c r="V34" s="7">
        <v>19.3</v>
      </c>
      <c r="W34" s="7">
        <v>19.2</v>
      </c>
      <c r="X34" s="7">
        <v>19.399999999999999</v>
      </c>
      <c r="Y34" s="7">
        <v>19.2</v>
      </c>
      <c r="Z34" s="7">
        <v>20.3</v>
      </c>
      <c r="AA34" s="7">
        <v>18.7</v>
      </c>
    </row>
    <row r="35" spans="2:27" s="5" customFormat="1" x14ac:dyDescent="0.2">
      <c r="B35" s="190" t="s">
        <v>23</v>
      </c>
      <c r="C35" s="15" t="s">
        <v>2</v>
      </c>
      <c r="D35" s="39">
        <v>10276902</v>
      </c>
      <c r="E35" s="39">
        <v>1031066</v>
      </c>
      <c r="F35" s="39">
        <v>48377</v>
      </c>
      <c r="G35" s="6">
        <v>2204</v>
      </c>
      <c r="H35" s="6">
        <v>2187</v>
      </c>
      <c r="I35" s="6">
        <v>2170</v>
      </c>
      <c r="J35" s="6">
        <v>2246</v>
      </c>
      <c r="K35" s="6">
        <v>2295</v>
      </c>
      <c r="L35" s="6">
        <v>2143</v>
      </c>
      <c r="M35" s="6">
        <v>2486</v>
      </c>
      <c r="N35" s="6">
        <v>2108</v>
      </c>
      <c r="O35" s="6">
        <v>2529</v>
      </c>
      <c r="P35" s="6">
        <v>2149</v>
      </c>
      <c r="Q35" s="6">
        <v>2278</v>
      </c>
      <c r="R35" s="6">
        <v>2731</v>
      </c>
      <c r="S35" s="6">
        <v>2304</v>
      </c>
      <c r="T35" s="6">
        <v>2883</v>
      </c>
      <c r="U35" s="6">
        <v>2589</v>
      </c>
      <c r="V35" s="6">
        <v>2235</v>
      </c>
      <c r="W35" s="6">
        <v>2322</v>
      </c>
      <c r="X35" s="6">
        <v>2011</v>
      </c>
      <c r="Y35" s="6">
        <v>2281</v>
      </c>
      <c r="Z35" s="6">
        <v>2201</v>
      </c>
      <c r="AA35" s="6">
        <v>2025</v>
      </c>
    </row>
    <row r="36" spans="2:27" s="5" customFormat="1" x14ac:dyDescent="0.2">
      <c r="B36" s="191"/>
      <c r="C36" s="15" t="s">
        <v>3</v>
      </c>
      <c r="D36" s="39">
        <v>19.399999999999999</v>
      </c>
      <c r="E36" s="39">
        <v>19.5</v>
      </c>
      <c r="F36" s="39">
        <v>20.9</v>
      </c>
      <c r="G36" s="7">
        <v>19.8</v>
      </c>
      <c r="H36" s="7">
        <v>19.899999999999999</v>
      </c>
      <c r="I36" s="7">
        <v>20.3</v>
      </c>
      <c r="J36" s="7">
        <v>21</v>
      </c>
      <c r="K36" s="7">
        <v>21.5</v>
      </c>
      <c r="L36" s="7">
        <v>20.399999999999999</v>
      </c>
      <c r="M36" s="7">
        <v>20.9</v>
      </c>
      <c r="N36" s="7">
        <v>21.6</v>
      </c>
      <c r="O36" s="7">
        <v>21.3</v>
      </c>
      <c r="P36" s="7">
        <v>20.100000000000001</v>
      </c>
      <c r="Q36" s="7">
        <v>21.1</v>
      </c>
      <c r="R36" s="7">
        <v>20.7</v>
      </c>
      <c r="S36" s="7">
        <v>21.3</v>
      </c>
      <c r="T36" s="7">
        <v>24.9</v>
      </c>
      <c r="U36" s="7">
        <v>22.9</v>
      </c>
      <c r="V36" s="7">
        <v>20.2</v>
      </c>
      <c r="W36" s="7">
        <v>21.6</v>
      </c>
      <c r="X36" s="7">
        <v>19.600000000000001</v>
      </c>
      <c r="Y36" s="7">
        <v>19.8</v>
      </c>
      <c r="Z36" s="7">
        <v>19.2</v>
      </c>
      <c r="AA36" s="7">
        <v>20.9</v>
      </c>
    </row>
    <row r="37" spans="2:27" s="5" customFormat="1" x14ac:dyDescent="0.2">
      <c r="B37" s="190" t="s">
        <v>24</v>
      </c>
      <c r="C37" s="15" t="s">
        <v>2</v>
      </c>
      <c r="D37" s="39">
        <v>3172277</v>
      </c>
      <c r="E37" s="39">
        <v>325329</v>
      </c>
      <c r="F37" s="39">
        <v>14843</v>
      </c>
      <c r="G37" s="6">
        <v>642</v>
      </c>
      <c r="H37" s="6">
        <v>611</v>
      </c>
      <c r="I37" s="6">
        <v>720</v>
      </c>
      <c r="J37" s="6">
        <v>741</v>
      </c>
      <c r="K37" s="6">
        <v>785</v>
      </c>
      <c r="L37" s="6">
        <v>638</v>
      </c>
      <c r="M37" s="6">
        <v>667</v>
      </c>
      <c r="N37" s="6">
        <v>807</v>
      </c>
      <c r="O37" s="6">
        <v>702</v>
      </c>
      <c r="P37" s="6">
        <v>504</v>
      </c>
      <c r="Q37" s="6">
        <v>759</v>
      </c>
      <c r="R37" s="6">
        <v>768</v>
      </c>
      <c r="S37" s="6">
        <v>611</v>
      </c>
      <c r="T37" s="6">
        <v>970</v>
      </c>
      <c r="U37" s="6">
        <v>811</v>
      </c>
      <c r="V37" s="6">
        <v>722</v>
      </c>
      <c r="W37" s="6">
        <v>694</v>
      </c>
      <c r="X37" s="6">
        <v>613</v>
      </c>
      <c r="Y37" s="6">
        <v>754</v>
      </c>
      <c r="Z37" s="6">
        <v>710</v>
      </c>
      <c r="AA37" s="6">
        <v>614</v>
      </c>
    </row>
    <row r="38" spans="2:27" s="5" customFormat="1" x14ac:dyDescent="0.2">
      <c r="B38" s="191"/>
      <c r="C38" s="15" t="s">
        <v>3</v>
      </c>
      <c r="D38" s="39">
        <v>6</v>
      </c>
      <c r="E38" s="39">
        <v>6.2</v>
      </c>
      <c r="F38" s="39">
        <v>6.4</v>
      </c>
      <c r="G38" s="7">
        <v>5.8</v>
      </c>
      <c r="H38" s="7">
        <v>5.6</v>
      </c>
      <c r="I38" s="7">
        <v>6.7</v>
      </c>
      <c r="J38" s="7">
        <v>6.9</v>
      </c>
      <c r="K38" s="7">
        <v>7.4</v>
      </c>
      <c r="L38" s="7">
        <v>6.1</v>
      </c>
      <c r="M38" s="7">
        <v>5.6</v>
      </c>
      <c r="N38" s="7">
        <v>8.3000000000000007</v>
      </c>
      <c r="O38" s="7">
        <v>5.9</v>
      </c>
      <c r="P38" s="7">
        <v>4.7</v>
      </c>
      <c r="Q38" s="7">
        <v>7</v>
      </c>
      <c r="R38" s="7">
        <v>5.8</v>
      </c>
      <c r="S38" s="7">
        <v>5.7</v>
      </c>
      <c r="T38" s="7">
        <v>8.4</v>
      </c>
      <c r="U38" s="7">
        <v>7.2</v>
      </c>
      <c r="V38" s="7">
        <v>6.5</v>
      </c>
      <c r="W38" s="7">
        <v>6.5</v>
      </c>
      <c r="X38" s="7">
        <v>6</v>
      </c>
      <c r="Y38" s="7">
        <v>6.6</v>
      </c>
      <c r="Z38" s="7">
        <v>6.2</v>
      </c>
      <c r="AA38" s="7">
        <v>6.3</v>
      </c>
    </row>
    <row r="39" spans="2:27" s="5" customFormat="1" x14ac:dyDescent="0.2">
      <c r="B39" s="190" t="s">
        <v>25</v>
      </c>
      <c r="C39" s="15" t="s">
        <v>2</v>
      </c>
      <c r="D39" s="39">
        <v>4552283</v>
      </c>
      <c r="E39" s="39">
        <v>463849</v>
      </c>
      <c r="F39" s="39">
        <v>22080</v>
      </c>
      <c r="G39" s="6">
        <v>941</v>
      </c>
      <c r="H39" s="6">
        <v>902</v>
      </c>
      <c r="I39" s="6">
        <v>1075</v>
      </c>
      <c r="J39" s="6">
        <v>1060</v>
      </c>
      <c r="K39" s="6">
        <v>1203</v>
      </c>
      <c r="L39" s="6">
        <v>969</v>
      </c>
      <c r="M39" s="6">
        <v>903</v>
      </c>
      <c r="N39" s="6">
        <v>1172</v>
      </c>
      <c r="O39" s="6">
        <v>1024</v>
      </c>
      <c r="P39" s="6">
        <v>746</v>
      </c>
      <c r="Q39" s="6">
        <v>1250</v>
      </c>
      <c r="R39" s="6">
        <v>1090</v>
      </c>
      <c r="S39" s="6">
        <v>927</v>
      </c>
      <c r="T39" s="6">
        <v>1435</v>
      </c>
      <c r="U39" s="6">
        <v>1039</v>
      </c>
      <c r="V39" s="6">
        <v>1283</v>
      </c>
      <c r="W39" s="6">
        <v>1004</v>
      </c>
      <c r="X39" s="6">
        <v>774</v>
      </c>
      <c r="Y39" s="6">
        <v>1195</v>
      </c>
      <c r="Z39" s="6">
        <v>1060</v>
      </c>
      <c r="AA39" s="6">
        <v>1028</v>
      </c>
    </row>
    <row r="40" spans="2:27" s="5" customFormat="1" x14ac:dyDescent="0.2">
      <c r="B40" s="191"/>
      <c r="C40" s="15" t="s">
        <v>3</v>
      </c>
      <c r="D40" s="39">
        <v>8.6</v>
      </c>
      <c r="E40" s="39">
        <v>8.8000000000000007</v>
      </c>
      <c r="F40" s="39">
        <v>9.5</v>
      </c>
      <c r="G40" s="7">
        <v>8.5</v>
      </c>
      <c r="H40" s="7">
        <v>8.1999999999999993</v>
      </c>
      <c r="I40" s="7">
        <v>10.1</v>
      </c>
      <c r="J40" s="7">
        <v>9.9</v>
      </c>
      <c r="K40" s="7">
        <v>11.3</v>
      </c>
      <c r="L40" s="7">
        <v>9.1999999999999993</v>
      </c>
      <c r="M40" s="7">
        <v>7.6</v>
      </c>
      <c r="N40" s="7">
        <v>12</v>
      </c>
      <c r="O40" s="7">
        <v>8.6</v>
      </c>
      <c r="P40" s="7">
        <v>7</v>
      </c>
      <c r="Q40" s="7">
        <v>11.6</v>
      </c>
      <c r="R40" s="7">
        <v>8.3000000000000007</v>
      </c>
      <c r="S40" s="7">
        <v>8.6</v>
      </c>
      <c r="T40" s="7">
        <v>12.4</v>
      </c>
      <c r="U40" s="7">
        <v>9.1999999999999993</v>
      </c>
      <c r="V40" s="7">
        <v>11.6</v>
      </c>
      <c r="W40" s="7">
        <v>9.4</v>
      </c>
      <c r="X40" s="7">
        <v>7.6</v>
      </c>
      <c r="Y40" s="7">
        <v>10.4</v>
      </c>
      <c r="Z40" s="7">
        <v>9.1999999999999993</v>
      </c>
      <c r="AA40" s="7">
        <v>10.6</v>
      </c>
    </row>
    <row r="41" spans="2:27" s="5" customFormat="1" x14ac:dyDescent="0.2">
      <c r="B41" s="190" t="s">
        <v>26</v>
      </c>
      <c r="C41" s="15" t="s">
        <v>2</v>
      </c>
      <c r="D41" s="39">
        <v>2928118</v>
      </c>
      <c r="E41" s="39">
        <v>296421</v>
      </c>
      <c r="F41" s="39">
        <v>13250</v>
      </c>
      <c r="G41" s="6">
        <v>508</v>
      </c>
      <c r="H41" s="6">
        <v>543</v>
      </c>
      <c r="I41" s="6">
        <v>607</v>
      </c>
      <c r="J41" s="6">
        <v>593</v>
      </c>
      <c r="K41" s="6">
        <v>703</v>
      </c>
      <c r="L41" s="6">
        <v>548</v>
      </c>
      <c r="M41" s="6">
        <v>539</v>
      </c>
      <c r="N41" s="6">
        <v>807</v>
      </c>
      <c r="O41" s="6">
        <v>662</v>
      </c>
      <c r="P41" s="6">
        <v>481</v>
      </c>
      <c r="Q41" s="6">
        <v>677</v>
      </c>
      <c r="R41" s="6">
        <v>721</v>
      </c>
      <c r="S41" s="6">
        <v>550</v>
      </c>
      <c r="T41" s="6">
        <v>735</v>
      </c>
      <c r="U41" s="6">
        <v>652</v>
      </c>
      <c r="V41" s="6">
        <v>752</v>
      </c>
      <c r="W41" s="6">
        <v>620</v>
      </c>
      <c r="X41" s="6">
        <v>564</v>
      </c>
      <c r="Y41" s="6">
        <v>681</v>
      </c>
      <c r="Z41" s="6">
        <v>617</v>
      </c>
      <c r="AA41" s="6">
        <v>690</v>
      </c>
    </row>
    <row r="42" spans="2:27" s="5" customFormat="1" x14ac:dyDescent="0.2">
      <c r="B42" s="191"/>
      <c r="C42" s="15" t="s">
        <v>3</v>
      </c>
      <c r="D42" s="39">
        <v>5.5</v>
      </c>
      <c r="E42" s="39">
        <v>5.6</v>
      </c>
      <c r="F42" s="39">
        <v>5.7</v>
      </c>
      <c r="G42" s="7">
        <v>4.5999999999999996</v>
      </c>
      <c r="H42" s="7">
        <v>4.9000000000000004</v>
      </c>
      <c r="I42" s="7">
        <v>5.7</v>
      </c>
      <c r="J42" s="7">
        <v>5.6</v>
      </c>
      <c r="K42" s="7">
        <v>6.6</v>
      </c>
      <c r="L42" s="7">
        <v>5.2</v>
      </c>
      <c r="M42" s="7">
        <v>4.5</v>
      </c>
      <c r="N42" s="7">
        <v>8.3000000000000007</v>
      </c>
      <c r="O42" s="7">
        <v>5.6</v>
      </c>
      <c r="P42" s="7">
        <v>4.5</v>
      </c>
      <c r="Q42" s="7">
        <v>6.3</v>
      </c>
      <c r="R42" s="7">
        <v>5.5</v>
      </c>
      <c r="S42" s="7">
        <v>5.0999999999999996</v>
      </c>
      <c r="T42" s="7">
        <v>6.3</v>
      </c>
      <c r="U42" s="7">
        <v>5.8</v>
      </c>
      <c r="V42" s="7">
        <v>6.8</v>
      </c>
      <c r="W42" s="7">
        <v>5.8</v>
      </c>
      <c r="X42" s="7">
        <v>5.5</v>
      </c>
      <c r="Y42" s="7">
        <v>5.9</v>
      </c>
      <c r="Z42" s="7">
        <v>5.4</v>
      </c>
      <c r="AA42" s="7">
        <v>7.1</v>
      </c>
    </row>
    <row r="43" spans="2:27" s="5" customFormat="1" x14ac:dyDescent="0.2">
      <c r="B43" s="190" t="s">
        <v>27</v>
      </c>
      <c r="C43" s="15" t="s">
        <v>2</v>
      </c>
      <c r="D43" s="39">
        <v>776311</v>
      </c>
      <c r="E43" s="39">
        <v>75868</v>
      </c>
      <c r="F43" s="39">
        <v>3279</v>
      </c>
      <c r="G43" s="6">
        <v>128</v>
      </c>
      <c r="H43" s="6">
        <v>144</v>
      </c>
      <c r="I43" s="6">
        <v>144</v>
      </c>
      <c r="J43" s="6">
        <v>165</v>
      </c>
      <c r="K43" s="6">
        <v>184</v>
      </c>
      <c r="L43" s="6">
        <v>188</v>
      </c>
      <c r="M43" s="6">
        <v>130</v>
      </c>
      <c r="N43" s="6">
        <v>192</v>
      </c>
      <c r="O43" s="6">
        <v>177</v>
      </c>
      <c r="P43" s="6">
        <v>141</v>
      </c>
      <c r="Q43" s="6">
        <v>141</v>
      </c>
      <c r="R43" s="6">
        <v>178</v>
      </c>
      <c r="S43" s="6">
        <v>123</v>
      </c>
      <c r="T43" s="6">
        <v>163</v>
      </c>
      <c r="U43" s="6">
        <v>144</v>
      </c>
      <c r="V43" s="6">
        <v>189</v>
      </c>
      <c r="W43" s="6">
        <v>143</v>
      </c>
      <c r="X43" s="6">
        <v>137</v>
      </c>
      <c r="Y43" s="6">
        <v>135</v>
      </c>
      <c r="Z43" s="6">
        <v>184</v>
      </c>
      <c r="AA43" s="6">
        <v>149</v>
      </c>
    </row>
    <row r="44" spans="2:27" s="5" customFormat="1" x14ac:dyDescent="0.2">
      <c r="B44" s="191"/>
      <c r="C44" s="15" t="s">
        <v>3</v>
      </c>
      <c r="D44" s="39">
        <v>1.5</v>
      </c>
      <c r="E44" s="39">
        <v>1.4</v>
      </c>
      <c r="F44" s="39">
        <v>1.4</v>
      </c>
      <c r="G44" s="7">
        <v>1.2</v>
      </c>
      <c r="H44" s="7">
        <v>1.3</v>
      </c>
      <c r="I44" s="7">
        <v>1.3</v>
      </c>
      <c r="J44" s="7">
        <v>1.5</v>
      </c>
      <c r="K44" s="7">
        <v>1.7</v>
      </c>
      <c r="L44" s="7">
        <v>1.8</v>
      </c>
      <c r="M44" s="7">
        <v>1.1000000000000001</v>
      </c>
      <c r="N44" s="7">
        <v>2</v>
      </c>
      <c r="O44" s="7">
        <v>1.5</v>
      </c>
      <c r="P44" s="7">
        <v>1.3</v>
      </c>
      <c r="Q44" s="7">
        <v>1.3</v>
      </c>
      <c r="R44" s="7">
        <v>1.3</v>
      </c>
      <c r="S44" s="7">
        <v>1.1000000000000001</v>
      </c>
      <c r="T44" s="7">
        <v>1.4</v>
      </c>
      <c r="U44" s="7">
        <v>1.3</v>
      </c>
      <c r="V44" s="7">
        <v>1.7</v>
      </c>
      <c r="W44" s="7">
        <v>1.3</v>
      </c>
      <c r="X44" s="7">
        <v>1.3</v>
      </c>
      <c r="Y44" s="7">
        <v>1.2</v>
      </c>
      <c r="Z44" s="7">
        <v>1.6</v>
      </c>
      <c r="AA44" s="7">
        <v>1.5</v>
      </c>
    </row>
    <row r="45" spans="2:27" s="5" customFormat="1" x14ac:dyDescent="0.2">
      <c r="B45" s="190" t="s">
        <v>28</v>
      </c>
      <c r="C45" s="15" t="s">
        <v>2</v>
      </c>
      <c r="D45" s="39">
        <v>403817</v>
      </c>
      <c r="E45" s="39">
        <v>38433</v>
      </c>
      <c r="F45" s="39">
        <v>1401</v>
      </c>
      <c r="G45" s="6">
        <v>55</v>
      </c>
      <c r="H45" s="6">
        <v>55</v>
      </c>
      <c r="I45" s="6">
        <v>56</v>
      </c>
      <c r="J45" s="6">
        <v>73</v>
      </c>
      <c r="K45" s="6">
        <v>70</v>
      </c>
      <c r="L45" s="6">
        <v>72</v>
      </c>
      <c r="M45" s="6">
        <v>55</v>
      </c>
      <c r="N45" s="6">
        <v>86</v>
      </c>
      <c r="O45" s="6">
        <v>67</v>
      </c>
      <c r="P45" s="6">
        <v>64</v>
      </c>
      <c r="Q45" s="6">
        <v>50</v>
      </c>
      <c r="R45" s="6">
        <v>88</v>
      </c>
      <c r="S45" s="6">
        <v>56</v>
      </c>
      <c r="T45" s="6">
        <v>83</v>
      </c>
      <c r="U45" s="6">
        <v>62</v>
      </c>
      <c r="V45" s="6">
        <v>75</v>
      </c>
      <c r="W45" s="6">
        <v>76</v>
      </c>
      <c r="X45" s="6">
        <v>47</v>
      </c>
      <c r="Y45" s="6">
        <v>64</v>
      </c>
      <c r="Z45" s="6">
        <v>88</v>
      </c>
      <c r="AA45" s="6">
        <v>59</v>
      </c>
    </row>
    <row r="46" spans="2:27" s="5" customFormat="1" x14ac:dyDescent="0.2">
      <c r="B46" s="191"/>
      <c r="C46" s="15" t="s">
        <v>3</v>
      </c>
      <c r="D46" s="39">
        <v>0.8</v>
      </c>
      <c r="E46" s="39">
        <v>0.7</v>
      </c>
      <c r="F46" s="39">
        <v>0</v>
      </c>
      <c r="G46" s="7">
        <v>0.5</v>
      </c>
      <c r="H46" s="7">
        <v>0.5</v>
      </c>
      <c r="I46" s="7">
        <v>0.5</v>
      </c>
      <c r="J46" s="7">
        <v>0.7</v>
      </c>
      <c r="K46" s="7">
        <v>0.7</v>
      </c>
      <c r="L46" s="7">
        <v>0.7</v>
      </c>
      <c r="M46" s="7">
        <v>0.5</v>
      </c>
      <c r="N46" s="7">
        <v>0.9</v>
      </c>
      <c r="O46" s="7">
        <v>0.6</v>
      </c>
      <c r="P46" s="7">
        <v>0.6</v>
      </c>
      <c r="Q46" s="7">
        <v>0.5</v>
      </c>
      <c r="R46" s="7">
        <v>0.7</v>
      </c>
      <c r="S46" s="7">
        <v>0.5</v>
      </c>
      <c r="T46" s="7">
        <v>0.7</v>
      </c>
      <c r="U46" s="7">
        <v>0.5</v>
      </c>
      <c r="V46" s="7">
        <v>0.7</v>
      </c>
      <c r="W46" s="7">
        <v>0.7</v>
      </c>
      <c r="X46" s="7">
        <v>0.5</v>
      </c>
      <c r="Y46" s="7">
        <v>0.6</v>
      </c>
      <c r="Z46" s="7">
        <v>0.8</v>
      </c>
      <c r="AA46" s="7">
        <v>0.6</v>
      </c>
    </row>
    <row r="47" spans="2:27" s="5" customFormat="1" x14ac:dyDescent="0.2">
      <c r="B47" s="16" t="s">
        <v>343</v>
      </c>
      <c r="C47" s="15" t="s">
        <v>2</v>
      </c>
      <c r="D47" s="23">
        <f>D15+D17+D19+D21+D23+D25+D27+D29+D31+D33+D35+D37+D39+D41+D43+D45</f>
        <v>49776456</v>
      </c>
      <c r="E47" s="23">
        <f>E15+E17+E19+E21+E23+E25+E27+E29+E31+E33+E35+E37+E39+E41+E43+E45</f>
        <v>5283733</v>
      </c>
      <c r="F47" s="23">
        <f>F15+F17+F19+F21+F23+F25+F27+F29+F31+F33+F35+F37+F39+F41+F43+F45</f>
        <v>231221</v>
      </c>
      <c r="G47" s="23">
        <f>G15+G17+G19+G21+G23+G25+G27+G29+G31+G33+G35+G37+G39+G41+G43+G45</f>
        <v>11115</v>
      </c>
      <c r="H47" s="23">
        <f t="shared" ref="H47:AA47" si="0">H15+H17+H19+H21+H23+H25+H27+H29+H31+H33+H35+H37+H39+H41+H43+H45</f>
        <v>10977</v>
      </c>
      <c r="I47" s="23">
        <f t="shared" si="0"/>
        <v>10685</v>
      </c>
      <c r="J47" s="23">
        <f t="shared" si="0"/>
        <v>10676</v>
      </c>
      <c r="K47" s="23">
        <f t="shared" si="0"/>
        <v>10669</v>
      </c>
      <c r="L47" s="23">
        <f t="shared" si="0"/>
        <v>10498</v>
      </c>
      <c r="M47" s="23">
        <f t="shared" si="0"/>
        <v>11889</v>
      </c>
      <c r="N47" s="23">
        <f t="shared" si="0"/>
        <v>9777</v>
      </c>
      <c r="O47" s="23">
        <f t="shared" si="0"/>
        <v>11852</v>
      </c>
      <c r="P47" s="23">
        <f t="shared" si="0"/>
        <v>10680</v>
      </c>
      <c r="Q47" s="23">
        <f t="shared" si="0"/>
        <v>10785</v>
      </c>
      <c r="R47" s="23">
        <f t="shared" si="0"/>
        <v>13189</v>
      </c>
      <c r="S47" s="23">
        <f t="shared" si="0"/>
        <v>10811</v>
      </c>
      <c r="T47" s="23">
        <f t="shared" si="0"/>
        <v>11587</v>
      </c>
      <c r="U47" s="23">
        <f t="shared" si="0"/>
        <v>11322</v>
      </c>
      <c r="V47" s="23">
        <f t="shared" si="0"/>
        <v>11062</v>
      </c>
      <c r="W47" s="23">
        <f t="shared" si="0"/>
        <v>10728</v>
      </c>
      <c r="X47" s="23">
        <f t="shared" si="0"/>
        <v>10250</v>
      </c>
      <c r="Y47" s="23">
        <f t="shared" si="0"/>
        <v>11510</v>
      </c>
      <c r="Z47" s="23">
        <f t="shared" si="0"/>
        <v>11477</v>
      </c>
      <c r="AA47" s="23">
        <f t="shared" si="0"/>
        <v>9682</v>
      </c>
    </row>
    <row r="48" spans="2:27" s="5" customFormat="1" x14ac:dyDescent="0.2">
      <c r="B48" s="16" t="s">
        <v>338</v>
      </c>
      <c r="C48" s="15" t="s">
        <v>2</v>
      </c>
      <c r="D48" s="23">
        <f>D17+D19+D21+D23</f>
        <v>6704387</v>
      </c>
      <c r="E48" s="23">
        <f>E17+E19+E21+E23</f>
        <v>669345</v>
      </c>
      <c r="F48" s="23">
        <f>F17+F19+F21+F23</f>
        <v>28929</v>
      </c>
      <c r="G48" s="23">
        <f>G17+G19+G21+G23</f>
        <v>1167</v>
      </c>
      <c r="H48" s="23">
        <f t="shared" ref="H48:AA48" si="1">H17+H19+H21+H23</f>
        <v>1483</v>
      </c>
      <c r="I48" s="23">
        <f t="shared" si="1"/>
        <v>1368</v>
      </c>
      <c r="J48" s="23">
        <f t="shared" si="1"/>
        <v>1333</v>
      </c>
      <c r="K48" s="23">
        <f t="shared" si="1"/>
        <v>1321</v>
      </c>
      <c r="L48" s="23">
        <f t="shared" si="1"/>
        <v>1352</v>
      </c>
      <c r="M48" s="23">
        <f t="shared" si="1"/>
        <v>1564</v>
      </c>
      <c r="N48" s="23">
        <f t="shared" si="1"/>
        <v>1029</v>
      </c>
      <c r="O48" s="23">
        <f t="shared" si="1"/>
        <v>1511</v>
      </c>
      <c r="P48" s="23">
        <f t="shared" si="1"/>
        <v>1239</v>
      </c>
      <c r="Q48" s="23">
        <f t="shared" si="1"/>
        <v>1271</v>
      </c>
      <c r="R48" s="23">
        <f t="shared" si="1"/>
        <v>1782</v>
      </c>
      <c r="S48" s="23">
        <f t="shared" si="1"/>
        <v>1319</v>
      </c>
      <c r="T48" s="23">
        <f t="shared" si="1"/>
        <v>1454</v>
      </c>
      <c r="U48" s="23">
        <f t="shared" si="1"/>
        <v>1400</v>
      </c>
      <c r="V48" s="23">
        <f t="shared" si="1"/>
        <v>1329</v>
      </c>
      <c r="W48" s="23">
        <f t="shared" si="1"/>
        <v>1441</v>
      </c>
      <c r="X48" s="23">
        <f t="shared" si="1"/>
        <v>1516</v>
      </c>
      <c r="Y48" s="23">
        <f t="shared" si="1"/>
        <v>1357</v>
      </c>
      <c r="Z48" s="23">
        <f t="shared" si="1"/>
        <v>1514</v>
      </c>
      <c r="AA48" s="23">
        <f t="shared" si="1"/>
        <v>1179</v>
      </c>
    </row>
    <row r="49" spans="2:27" s="5" customFormat="1" x14ac:dyDescent="0.2">
      <c r="B49" s="16"/>
      <c r="C49" s="15" t="s">
        <v>3</v>
      </c>
      <c r="D49" s="24">
        <f>D48/D47*100</f>
        <v>13.468992248062014</v>
      </c>
      <c r="E49" s="24">
        <f>E48/E47*100</f>
        <v>12.668032241598883</v>
      </c>
      <c r="F49" s="24">
        <f>F48/F47*100</f>
        <v>12.511406835884284</v>
      </c>
      <c r="G49" s="24">
        <f>G48/G47*100</f>
        <v>10.499325236167341</v>
      </c>
      <c r="H49" s="24">
        <f t="shared" ref="H49:AA49" si="2">H48/H47*100</f>
        <v>13.510066502687437</v>
      </c>
      <c r="I49" s="24">
        <f t="shared" si="2"/>
        <v>12.802994852597099</v>
      </c>
      <c r="J49" s="24">
        <f t="shared" si="2"/>
        <v>12.485949793930311</v>
      </c>
      <c r="K49" s="24">
        <f t="shared" si="2"/>
        <v>12.38166651045084</v>
      </c>
      <c r="L49" s="24">
        <f t="shared" si="2"/>
        <v>12.878643551152599</v>
      </c>
      <c r="M49" s="24">
        <f t="shared" si="2"/>
        <v>13.155017242829507</v>
      </c>
      <c r="N49" s="24">
        <f t="shared" si="2"/>
        <v>10.524700828474993</v>
      </c>
      <c r="O49" s="24">
        <f t="shared" si="2"/>
        <v>12.748903138710766</v>
      </c>
      <c r="P49" s="24">
        <f t="shared" si="2"/>
        <v>11.601123595505618</v>
      </c>
      <c r="Q49" s="24">
        <f t="shared" si="2"/>
        <v>11.784886416318962</v>
      </c>
      <c r="R49" s="24">
        <f t="shared" si="2"/>
        <v>13.511259382819016</v>
      </c>
      <c r="S49" s="24">
        <f t="shared" si="2"/>
        <v>12.200536490611414</v>
      </c>
      <c r="T49" s="24">
        <f t="shared" si="2"/>
        <v>12.548545784068352</v>
      </c>
      <c r="U49" s="24">
        <f t="shared" si="2"/>
        <v>12.365306482953542</v>
      </c>
      <c r="V49" s="24">
        <f t="shared" si="2"/>
        <v>12.014102332308806</v>
      </c>
      <c r="W49" s="24">
        <f t="shared" si="2"/>
        <v>13.432140193885161</v>
      </c>
      <c r="X49" s="24">
        <f t="shared" si="2"/>
        <v>14.790243902439023</v>
      </c>
      <c r="Y49" s="24">
        <f t="shared" si="2"/>
        <v>11.789748045178106</v>
      </c>
      <c r="Z49" s="24">
        <f t="shared" si="2"/>
        <v>13.191600592489328</v>
      </c>
      <c r="AA49" s="24">
        <f t="shared" si="2"/>
        <v>12.177236108242099</v>
      </c>
    </row>
    <row r="50" spans="2:27" s="5" customFormat="1" x14ac:dyDescent="0.2">
      <c r="B50" s="16" t="s">
        <v>339</v>
      </c>
      <c r="C50" s="15" t="s">
        <v>2</v>
      </c>
      <c r="D50" s="23">
        <f>D25+D27+D29</f>
        <v>3048760</v>
      </c>
      <c r="E50" s="23">
        <f>E25+E27+E29</f>
        <v>665550</v>
      </c>
      <c r="F50" s="23">
        <f>F25+F27+F29</f>
        <v>24934</v>
      </c>
      <c r="G50" s="23">
        <f>G25+G27+G29</f>
        <v>1412</v>
      </c>
      <c r="H50" s="23">
        <f t="shared" ref="H50:AA50" si="3">H25+H27+H29</f>
        <v>1270</v>
      </c>
      <c r="I50" s="23">
        <f t="shared" si="3"/>
        <v>1091</v>
      </c>
      <c r="J50" s="23">
        <f t="shared" si="3"/>
        <v>1024</v>
      </c>
      <c r="K50" s="23">
        <f t="shared" si="3"/>
        <v>1026</v>
      </c>
      <c r="L50" s="23">
        <f t="shared" si="3"/>
        <v>1280</v>
      </c>
      <c r="M50" s="23">
        <f t="shared" si="3"/>
        <v>1465</v>
      </c>
      <c r="N50" s="23">
        <f t="shared" si="3"/>
        <v>882</v>
      </c>
      <c r="O50" s="23">
        <f t="shared" si="3"/>
        <v>1256</v>
      </c>
      <c r="P50" s="23">
        <f t="shared" si="3"/>
        <v>1287</v>
      </c>
      <c r="Q50" s="23">
        <f t="shared" si="3"/>
        <v>1121</v>
      </c>
      <c r="R50" s="23">
        <f t="shared" si="3"/>
        <v>1470</v>
      </c>
      <c r="S50" s="23">
        <f t="shared" si="3"/>
        <v>1125</v>
      </c>
      <c r="T50" s="23">
        <f t="shared" si="3"/>
        <v>893</v>
      </c>
      <c r="U50" s="23">
        <f t="shared" si="3"/>
        <v>1086</v>
      </c>
      <c r="V50" s="23">
        <f t="shared" si="3"/>
        <v>1128</v>
      </c>
      <c r="W50" s="23">
        <f t="shared" si="3"/>
        <v>1200</v>
      </c>
      <c r="X50" s="23">
        <f t="shared" si="3"/>
        <v>1257</v>
      </c>
      <c r="Y50" s="23">
        <f t="shared" si="3"/>
        <v>1313</v>
      </c>
      <c r="Z50" s="23">
        <f t="shared" si="3"/>
        <v>1282</v>
      </c>
      <c r="AA50" s="23">
        <f t="shared" si="3"/>
        <v>1066</v>
      </c>
    </row>
    <row r="51" spans="2:27" s="5" customFormat="1" x14ac:dyDescent="0.2">
      <c r="B51" s="16"/>
      <c r="C51" s="15" t="s">
        <v>3</v>
      </c>
      <c r="D51" s="24">
        <f>D50/D47*100</f>
        <v>6.1249037094967145</v>
      </c>
      <c r="E51" s="24">
        <f>E50/E47*100</f>
        <v>12.596208021866358</v>
      </c>
      <c r="F51" s="24">
        <f>F50/F47*100</f>
        <v>10.783622594833513</v>
      </c>
      <c r="G51" s="24">
        <f>G50/G47*100</f>
        <v>12.703553756185334</v>
      </c>
      <c r="H51" s="24">
        <f t="shared" ref="H51:AA51" si="4">H50/H47*100</f>
        <v>11.569645622665574</v>
      </c>
      <c r="I51" s="24">
        <f t="shared" si="4"/>
        <v>10.210575573233506</v>
      </c>
      <c r="J51" s="24">
        <f t="shared" si="4"/>
        <v>9.5916073435743723</v>
      </c>
      <c r="K51" s="24">
        <f t="shared" si="4"/>
        <v>9.6166463586090547</v>
      </c>
      <c r="L51" s="24">
        <f t="shared" si="4"/>
        <v>12.192798628310154</v>
      </c>
      <c r="M51" s="24">
        <f t="shared" si="4"/>
        <v>12.322314744722011</v>
      </c>
      <c r="N51" s="24">
        <f t="shared" si="4"/>
        <v>9.021172138692851</v>
      </c>
      <c r="O51" s="24">
        <f t="shared" si="4"/>
        <v>10.597367532905839</v>
      </c>
      <c r="P51" s="24">
        <f t="shared" si="4"/>
        <v>12.05056179775281</v>
      </c>
      <c r="Q51" s="24">
        <f t="shared" si="4"/>
        <v>10.394065832174316</v>
      </c>
      <c r="R51" s="24">
        <f t="shared" si="4"/>
        <v>11.145651679429829</v>
      </c>
      <c r="S51" s="24">
        <f t="shared" si="4"/>
        <v>10.406067893811858</v>
      </c>
      <c r="T51" s="24">
        <f t="shared" si="4"/>
        <v>7.7069129196513337</v>
      </c>
      <c r="U51" s="24">
        <f t="shared" si="4"/>
        <v>9.5919448860625334</v>
      </c>
      <c r="V51" s="24">
        <f t="shared" si="4"/>
        <v>10.19707105405894</v>
      </c>
      <c r="W51" s="24">
        <f t="shared" si="4"/>
        <v>11.185682326621924</v>
      </c>
      <c r="X51" s="24">
        <f t="shared" si="4"/>
        <v>12.263414634146342</v>
      </c>
      <c r="Y51" s="24">
        <f t="shared" si="4"/>
        <v>11.407471763683754</v>
      </c>
      <c r="Z51" s="24">
        <f t="shared" si="4"/>
        <v>11.170166419796114</v>
      </c>
      <c r="AA51" s="24">
        <f t="shared" si="4"/>
        <v>11.010121875645527</v>
      </c>
    </row>
    <row r="52" spans="2:27" s="5" customFormat="1" x14ac:dyDescent="0.2">
      <c r="B52" s="16" t="s">
        <v>344</v>
      </c>
      <c r="C52" s="15" t="s">
        <v>2</v>
      </c>
      <c r="D52" s="23">
        <f>D31+D33</f>
        <v>14595152</v>
      </c>
      <c r="E52" s="23">
        <f>E31+E33</f>
        <v>1389425</v>
      </c>
      <c r="F52" s="23">
        <f>F31+F33</f>
        <v>60171</v>
      </c>
      <c r="G52" s="23">
        <f>G31+G33</f>
        <v>3378</v>
      </c>
      <c r="H52" s="23">
        <f t="shared" ref="H52:AA52" si="5">H31+H33</f>
        <v>3036</v>
      </c>
      <c r="I52" s="23">
        <f t="shared" si="5"/>
        <v>2793</v>
      </c>
      <c r="J52" s="23">
        <f t="shared" si="5"/>
        <v>2852</v>
      </c>
      <c r="K52" s="23">
        <f t="shared" si="5"/>
        <v>2548</v>
      </c>
      <c r="L52" s="23">
        <f t="shared" si="5"/>
        <v>2594</v>
      </c>
      <c r="M52" s="23">
        <f t="shared" si="5"/>
        <v>3208</v>
      </c>
      <c r="N52" s="23">
        <f t="shared" si="5"/>
        <v>2236</v>
      </c>
      <c r="O52" s="23">
        <f t="shared" si="5"/>
        <v>3189</v>
      </c>
      <c r="P52" s="23">
        <f t="shared" si="5"/>
        <v>3275</v>
      </c>
      <c r="Q52" s="23">
        <f t="shared" si="5"/>
        <v>2588</v>
      </c>
      <c r="R52" s="23">
        <f t="shared" si="5"/>
        <v>3514</v>
      </c>
      <c r="S52" s="23">
        <f t="shared" si="5"/>
        <v>3133</v>
      </c>
      <c r="T52" s="23">
        <f t="shared" si="5"/>
        <v>2449</v>
      </c>
      <c r="U52" s="23">
        <f t="shared" si="5"/>
        <v>2897</v>
      </c>
      <c r="V52" s="23">
        <f t="shared" si="5"/>
        <v>2760</v>
      </c>
      <c r="W52" s="23">
        <f t="shared" si="5"/>
        <v>2644</v>
      </c>
      <c r="X52" s="23">
        <f t="shared" si="5"/>
        <v>2639</v>
      </c>
      <c r="Y52" s="23">
        <f t="shared" si="5"/>
        <v>2988</v>
      </c>
      <c r="Z52" s="23">
        <f t="shared" si="5"/>
        <v>3123</v>
      </c>
      <c r="AA52" s="23">
        <f t="shared" si="5"/>
        <v>2327</v>
      </c>
    </row>
    <row r="53" spans="2:27" s="5" customFormat="1" x14ac:dyDescent="0.2">
      <c r="B53" s="16"/>
      <c r="C53" s="15" t="s">
        <v>3</v>
      </c>
      <c r="D53" s="24">
        <f>D52/D47*100</f>
        <v>29.32139644493774</v>
      </c>
      <c r="E53" s="24">
        <f>E52/E47*100</f>
        <v>26.29627575806726</v>
      </c>
      <c r="F53" s="24">
        <f>F52/F47*100</f>
        <v>26.023155336236758</v>
      </c>
      <c r="G53" s="24">
        <f>G52/G47*100</f>
        <v>30.39136302294197</v>
      </c>
      <c r="H53" s="24">
        <f t="shared" ref="H53:AA53" si="6">H52/H47*100</f>
        <v>27.657830008198964</v>
      </c>
      <c r="I53" s="24">
        <f t="shared" si="6"/>
        <v>26.139447824052407</v>
      </c>
      <c r="J53" s="24">
        <f t="shared" si="6"/>
        <v>26.714125140502059</v>
      </c>
      <c r="K53" s="24">
        <f t="shared" si="6"/>
        <v>23.882275752179211</v>
      </c>
      <c r="L53" s="24">
        <f t="shared" si="6"/>
        <v>24.709468470184799</v>
      </c>
      <c r="M53" s="24">
        <f t="shared" si="6"/>
        <v>26.982925393220626</v>
      </c>
      <c r="N53" s="24">
        <f t="shared" si="6"/>
        <v>22.870001022808633</v>
      </c>
      <c r="O53" s="24">
        <f t="shared" si="6"/>
        <v>26.906851164360447</v>
      </c>
      <c r="P53" s="24">
        <f t="shared" si="6"/>
        <v>30.664794007490638</v>
      </c>
      <c r="Q53" s="24">
        <f t="shared" si="6"/>
        <v>23.996291145108948</v>
      </c>
      <c r="R53" s="24">
        <f t="shared" si="6"/>
        <v>26.643414967017971</v>
      </c>
      <c r="S53" s="24">
        <f t="shared" si="6"/>
        <v>28.979742854500046</v>
      </c>
      <c r="T53" s="24">
        <f t="shared" si="6"/>
        <v>21.135755588159142</v>
      </c>
      <c r="U53" s="24">
        <f t="shared" si="6"/>
        <v>25.587352057940294</v>
      </c>
      <c r="V53" s="24">
        <f t="shared" si="6"/>
        <v>24.950280238654855</v>
      </c>
      <c r="W53" s="24">
        <f t="shared" si="6"/>
        <v>24.645786726323639</v>
      </c>
      <c r="X53" s="24">
        <f t="shared" si="6"/>
        <v>25.746341463414634</v>
      </c>
      <c r="Y53" s="24">
        <f t="shared" si="6"/>
        <v>25.960034752389227</v>
      </c>
      <c r="Z53" s="24">
        <f t="shared" si="6"/>
        <v>27.210943626383198</v>
      </c>
      <c r="AA53" s="24">
        <f t="shared" si="6"/>
        <v>24.03429043586036</v>
      </c>
    </row>
    <row r="54" spans="2:27" s="5" customFormat="1" x14ac:dyDescent="0.2">
      <c r="B54" s="16" t="s">
        <v>23</v>
      </c>
      <c r="C54" s="15" t="s">
        <v>2</v>
      </c>
      <c r="D54" s="23">
        <f>D35</f>
        <v>10276902</v>
      </c>
      <c r="E54" s="23">
        <f>E35</f>
        <v>1031066</v>
      </c>
      <c r="F54" s="23">
        <f>F35</f>
        <v>48377</v>
      </c>
      <c r="G54" s="23">
        <f>G35</f>
        <v>2204</v>
      </c>
      <c r="H54" s="23">
        <f t="shared" ref="H54:AA54" si="7">H35</f>
        <v>2187</v>
      </c>
      <c r="I54" s="23">
        <f t="shared" si="7"/>
        <v>2170</v>
      </c>
      <c r="J54" s="23">
        <f t="shared" si="7"/>
        <v>2246</v>
      </c>
      <c r="K54" s="23">
        <f t="shared" si="7"/>
        <v>2295</v>
      </c>
      <c r="L54" s="23">
        <f t="shared" si="7"/>
        <v>2143</v>
      </c>
      <c r="M54" s="23">
        <f t="shared" si="7"/>
        <v>2486</v>
      </c>
      <c r="N54" s="23">
        <f t="shared" si="7"/>
        <v>2108</v>
      </c>
      <c r="O54" s="23">
        <f t="shared" si="7"/>
        <v>2529</v>
      </c>
      <c r="P54" s="23">
        <f t="shared" si="7"/>
        <v>2149</v>
      </c>
      <c r="Q54" s="23">
        <f t="shared" si="7"/>
        <v>2278</v>
      </c>
      <c r="R54" s="23">
        <f t="shared" si="7"/>
        <v>2731</v>
      </c>
      <c r="S54" s="23">
        <f t="shared" si="7"/>
        <v>2304</v>
      </c>
      <c r="T54" s="23">
        <f t="shared" si="7"/>
        <v>2883</v>
      </c>
      <c r="U54" s="23">
        <f t="shared" si="7"/>
        <v>2589</v>
      </c>
      <c r="V54" s="23">
        <f t="shared" si="7"/>
        <v>2235</v>
      </c>
      <c r="W54" s="23">
        <f t="shared" si="7"/>
        <v>2322</v>
      </c>
      <c r="X54" s="23">
        <f t="shared" si="7"/>
        <v>2011</v>
      </c>
      <c r="Y54" s="23">
        <f t="shared" si="7"/>
        <v>2281</v>
      </c>
      <c r="Z54" s="23">
        <f t="shared" si="7"/>
        <v>2201</v>
      </c>
      <c r="AA54" s="23">
        <f t="shared" si="7"/>
        <v>2025</v>
      </c>
    </row>
    <row r="55" spans="2:27" s="5" customFormat="1" x14ac:dyDescent="0.2">
      <c r="C55" s="15" t="s">
        <v>3</v>
      </c>
      <c r="D55" s="24">
        <f>D54/D47*100</f>
        <v>20.646110281535513</v>
      </c>
      <c r="E55" s="24">
        <f>E54/E47*100</f>
        <v>19.513968627862159</v>
      </c>
      <c r="F55" s="24">
        <f>F54/F47*100</f>
        <v>20.922407566786756</v>
      </c>
      <c r="G55" s="24">
        <f>G54/G47*100</f>
        <v>19.82905982905983</v>
      </c>
      <c r="H55" s="24">
        <f t="shared" ref="H55:AA55" si="8">H54/H47*100</f>
        <v>19.923476359661109</v>
      </c>
      <c r="I55" s="24">
        <f t="shared" si="8"/>
        <v>20.308844174075809</v>
      </c>
      <c r="J55" s="24">
        <f t="shared" si="8"/>
        <v>21.037841888347696</v>
      </c>
      <c r="K55" s="24">
        <f t="shared" si="8"/>
        <v>21.510919486362358</v>
      </c>
      <c r="L55" s="24">
        <f t="shared" si="8"/>
        <v>20.413412078491142</v>
      </c>
      <c r="M55" s="24">
        <f t="shared" si="8"/>
        <v>20.910084952477078</v>
      </c>
      <c r="N55" s="24">
        <f t="shared" si="8"/>
        <v>21.560805973202413</v>
      </c>
      <c r="O55" s="24">
        <f t="shared" si="8"/>
        <v>21.33817077286534</v>
      </c>
      <c r="P55" s="24">
        <f t="shared" si="8"/>
        <v>20.121722846441948</v>
      </c>
      <c r="Q55" s="24">
        <f t="shared" si="8"/>
        <v>21.121928604543346</v>
      </c>
      <c r="R55" s="24">
        <f t="shared" si="8"/>
        <v>20.706649480627796</v>
      </c>
      <c r="S55" s="24">
        <f t="shared" si="8"/>
        <v>21.311627046526684</v>
      </c>
      <c r="T55" s="24">
        <f t="shared" si="8"/>
        <v>24.881332527832917</v>
      </c>
      <c r="U55" s="24">
        <f t="shared" si="8"/>
        <v>22.866984631690514</v>
      </c>
      <c r="V55" s="24">
        <f t="shared" si="8"/>
        <v>20.204303019345506</v>
      </c>
      <c r="W55" s="24">
        <f t="shared" si="8"/>
        <v>21.644295302013422</v>
      </c>
      <c r="X55" s="24">
        <f t="shared" si="8"/>
        <v>19.619512195121953</v>
      </c>
      <c r="Y55" s="24">
        <f t="shared" si="8"/>
        <v>19.817549956559514</v>
      </c>
      <c r="Z55" s="24">
        <f t="shared" si="8"/>
        <v>19.177485405593796</v>
      </c>
      <c r="AA55" s="24">
        <f t="shared" si="8"/>
        <v>20.915100185912003</v>
      </c>
    </row>
    <row r="56" spans="2:27" s="5" customFormat="1" x14ac:dyDescent="0.2">
      <c r="B56" s="16" t="s">
        <v>340</v>
      </c>
      <c r="C56" s="15" t="s">
        <v>2</v>
      </c>
      <c r="D56" s="23">
        <f>D37+D39</f>
        <v>7724560</v>
      </c>
      <c r="E56" s="23">
        <f>E37+E39</f>
        <v>789178</v>
      </c>
      <c r="F56" s="23">
        <f>F37+F39</f>
        <v>36923</v>
      </c>
      <c r="G56" s="23">
        <f>G37+G39</f>
        <v>1583</v>
      </c>
      <c r="H56" s="23">
        <f t="shared" ref="H56:AA56" si="9">H37+H39</f>
        <v>1513</v>
      </c>
      <c r="I56" s="23">
        <f t="shared" si="9"/>
        <v>1795</v>
      </c>
      <c r="J56" s="23">
        <f t="shared" si="9"/>
        <v>1801</v>
      </c>
      <c r="K56" s="23">
        <f t="shared" si="9"/>
        <v>1988</v>
      </c>
      <c r="L56" s="23">
        <f t="shared" si="9"/>
        <v>1607</v>
      </c>
      <c r="M56" s="23">
        <f t="shared" si="9"/>
        <v>1570</v>
      </c>
      <c r="N56" s="23">
        <f t="shared" si="9"/>
        <v>1979</v>
      </c>
      <c r="O56" s="23">
        <f t="shared" si="9"/>
        <v>1726</v>
      </c>
      <c r="P56" s="23">
        <f t="shared" si="9"/>
        <v>1250</v>
      </c>
      <c r="Q56" s="23">
        <f t="shared" si="9"/>
        <v>2009</v>
      </c>
      <c r="R56" s="23">
        <f t="shared" si="9"/>
        <v>1858</v>
      </c>
      <c r="S56" s="23">
        <f t="shared" si="9"/>
        <v>1538</v>
      </c>
      <c r="T56" s="23">
        <f t="shared" si="9"/>
        <v>2405</v>
      </c>
      <c r="U56" s="23">
        <f t="shared" si="9"/>
        <v>1850</v>
      </c>
      <c r="V56" s="23">
        <f t="shared" si="9"/>
        <v>2005</v>
      </c>
      <c r="W56" s="23">
        <f t="shared" si="9"/>
        <v>1698</v>
      </c>
      <c r="X56" s="23">
        <f t="shared" si="9"/>
        <v>1387</v>
      </c>
      <c r="Y56" s="23">
        <f t="shared" si="9"/>
        <v>1949</v>
      </c>
      <c r="Z56" s="23">
        <f t="shared" si="9"/>
        <v>1770</v>
      </c>
      <c r="AA56" s="23">
        <f t="shared" si="9"/>
        <v>1642</v>
      </c>
    </row>
    <row r="57" spans="2:27" s="5" customFormat="1" x14ac:dyDescent="0.2">
      <c r="B57" s="16"/>
      <c r="C57" s="15" t="s">
        <v>3</v>
      </c>
      <c r="D57" s="24">
        <f>D56/D47*100</f>
        <v>15.518501357348544</v>
      </c>
      <c r="E57" s="24">
        <f>E56/E47*100</f>
        <v>14.935993169980391</v>
      </c>
      <c r="F57" s="24">
        <f>F56/F47*100</f>
        <v>15.968705264660215</v>
      </c>
      <c r="G57" s="24">
        <f>G56/G47*100</f>
        <v>14.242015294646873</v>
      </c>
      <c r="H57" s="24">
        <f t="shared" ref="H57:AA57" si="10">H56/H47*100</f>
        <v>13.783365218183475</v>
      </c>
      <c r="I57" s="24">
        <f t="shared" si="10"/>
        <v>16.799251286850726</v>
      </c>
      <c r="J57" s="24">
        <f t="shared" si="10"/>
        <v>16.869614087673284</v>
      </c>
      <c r="K57" s="24">
        <f t="shared" si="10"/>
        <v>18.633423938513449</v>
      </c>
      <c r="L57" s="24">
        <f t="shared" si="10"/>
        <v>15.307677652886264</v>
      </c>
      <c r="M57" s="24">
        <f t="shared" si="10"/>
        <v>13.205484060896627</v>
      </c>
      <c r="N57" s="24">
        <f t="shared" si="10"/>
        <v>20.241382837271146</v>
      </c>
      <c r="O57" s="24">
        <f t="shared" si="10"/>
        <v>14.56294296321296</v>
      </c>
      <c r="P57" s="24">
        <f t="shared" si="10"/>
        <v>11.704119850187265</v>
      </c>
      <c r="Q57" s="24">
        <f t="shared" si="10"/>
        <v>18.627723690310617</v>
      </c>
      <c r="R57" s="24">
        <f t="shared" si="10"/>
        <v>14.087497156721509</v>
      </c>
      <c r="S57" s="24">
        <f t="shared" si="10"/>
        <v>14.226251040606789</v>
      </c>
      <c r="T57" s="24">
        <f t="shared" si="10"/>
        <v>20.756019677224476</v>
      </c>
      <c r="U57" s="24">
        <f t="shared" si="10"/>
        <v>16.33986928104575</v>
      </c>
      <c r="V57" s="24">
        <f t="shared" si="10"/>
        <v>18.125112999457603</v>
      </c>
      <c r="W57" s="24">
        <f t="shared" si="10"/>
        <v>15.827740492170022</v>
      </c>
      <c r="X57" s="24">
        <f t="shared" si="10"/>
        <v>13.531707317073172</v>
      </c>
      <c r="Y57" s="24">
        <f t="shared" si="10"/>
        <v>16.933101650738489</v>
      </c>
      <c r="Z57" s="24">
        <f t="shared" si="10"/>
        <v>15.422148645116321</v>
      </c>
      <c r="AA57" s="24">
        <f t="shared" si="10"/>
        <v>16.959305928527161</v>
      </c>
    </row>
    <row r="58" spans="2:27" s="5" customFormat="1" x14ac:dyDescent="0.2">
      <c r="B58" s="16" t="s">
        <v>341</v>
      </c>
      <c r="C58" s="15" t="s">
        <v>2</v>
      </c>
      <c r="D58" s="23">
        <f>D41+D43+D45</f>
        <v>4108246</v>
      </c>
      <c r="E58" s="23">
        <f>E41+E43+E45</f>
        <v>410722</v>
      </c>
      <c r="F58" s="23">
        <f>F41+F43+F45</f>
        <v>17930</v>
      </c>
      <c r="G58" s="23">
        <f>G41+G43+G45</f>
        <v>691</v>
      </c>
      <c r="H58" s="23">
        <f t="shared" ref="H58:AA58" si="11">H41+H43+H45</f>
        <v>742</v>
      </c>
      <c r="I58" s="23">
        <f t="shared" si="11"/>
        <v>807</v>
      </c>
      <c r="J58" s="23">
        <f t="shared" si="11"/>
        <v>831</v>
      </c>
      <c r="K58" s="23">
        <f t="shared" si="11"/>
        <v>957</v>
      </c>
      <c r="L58" s="23">
        <f t="shared" si="11"/>
        <v>808</v>
      </c>
      <c r="M58" s="23">
        <f t="shared" si="11"/>
        <v>724</v>
      </c>
      <c r="N58" s="23">
        <f t="shared" si="11"/>
        <v>1085</v>
      </c>
      <c r="O58" s="23">
        <f t="shared" si="11"/>
        <v>906</v>
      </c>
      <c r="P58" s="23">
        <f t="shared" si="11"/>
        <v>686</v>
      </c>
      <c r="Q58" s="23">
        <f t="shared" si="11"/>
        <v>868</v>
      </c>
      <c r="R58" s="23">
        <f t="shared" si="11"/>
        <v>987</v>
      </c>
      <c r="S58" s="23">
        <f t="shared" si="11"/>
        <v>729</v>
      </c>
      <c r="T58" s="23">
        <f t="shared" si="11"/>
        <v>981</v>
      </c>
      <c r="U58" s="23">
        <f t="shared" si="11"/>
        <v>858</v>
      </c>
      <c r="V58" s="23">
        <f t="shared" si="11"/>
        <v>1016</v>
      </c>
      <c r="W58" s="23">
        <f t="shared" si="11"/>
        <v>839</v>
      </c>
      <c r="X58" s="23">
        <f t="shared" si="11"/>
        <v>748</v>
      </c>
      <c r="Y58" s="23">
        <f t="shared" si="11"/>
        <v>880</v>
      </c>
      <c r="Z58" s="23">
        <f t="shared" si="11"/>
        <v>889</v>
      </c>
      <c r="AA58" s="23">
        <f t="shared" si="11"/>
        <v>898</v>
      </c>
    </row>
    <row r="59" spans="2:27" s="5" customFormat="1" x14ac:dyDescent="0.2">
      <c r="B59" s="16"/>
      <c r="C59" s="15" t="s">
        <v>3</v>
      </c>
      <c r="D59" s="24">
        <f>D58/D47*100</f>
        <v>8.253391924889149</v>
      </c>
      <c r="E59" s="24">
        <f>E58/E47*100</f>
        <v>7.7733299544091263</v>
      </c>
      <c r="F59" s="24">
        <f>F58/F47*100</f>
        <v>7.7544859679700373</v>
      </c>
      <c r="G59" s="24">
        <f>G58/G47*100</f>
        <v>6.2168241115609533</v>
      </c>
      <c r="H59" s="24">
        <f t="shared" ref="H59:AA59" si="12">H58/H47*100</f>
        <v>6.7595882299353187</v>
      </c>
      <c r="I59" s="24">
        <f t="shared" si="12"/>
        <v>7.5526438933083764</v>
      </c>
      <c r="J59" s="24">
        <f t="shared" si="12"/>
        <v>7.783814162607718</v>
      </c>
      <c r="K59" s="24">
        <f t="shared" si="12"/>
        <v>8.9699128315680952</v>
      </c>
      <c r="L59" s="24">
        <f t="shared" si="12"/>
        <v>7.6967041341207851</v>
      </c>
      <c r="M59" s="24">
        <f t="shared" si="12"/>
        <v>6.0896627134325847</v>
      </c>
      <c r="N59" s="24">
        <f t="shared" si="12"/>
        <v>11.097473662677713</v>
      </c>
      <c r="O59" s="24">
        <f t="shared" si="12"/>
        <v>7.6442794465069186</v>
      </c>
      <c r="P59" s="24">
        <f t="shared" si="12"/>
        <v>6.4232209737827715</v>
      </c>
      <c r="Q59" s="24">
        <f t="shared" si="12"/>
        <v>8.0482151135836819</v>
      </c>
      <c r="R59" s="24">
        <f t="shared" si="12"/>
        <v>7.4835089847600278</v>
      </c>
      <c r="S59" s="24">
        <f t="shared" si="12"/>
        <v>6.7431319951900841</v>
      </c>
      <c r="T59" s="24">
        <f t="shared" si="12"/>
        <v>8.4663847415206703</v>
      </c>
      <c r="U59" s="24">
        <f t="shared" si="12"/>
        <v>7.578166401695813</v>
      </c>
      <c r="V59" s="24">
        <f t="shared" si="12"/>
        <v>9.1845959139396118</v>
      </c>
      <c r="W59" s="24">
        <f t="shared" si="12"/>
        <v>7.8206562266964958</v>
      </c>
      <c r="X59" s="24">
        <f t="shared" si="12"/>
        <v>7.2975609756097555</v>
      </c>
      <c r="Y59" s="24">
        <f t="shared" si="12"/>
        <v>7.6455256298870555</v>
      </c>
      <c r="Z59" s="24">
        <f t="shared" si="12"/>
        <v>7.7459266358804566</v>
      </c>
      <c r="AA59" s="24">
        <f t="shared" si="12"/>
        <v>9.2749431935550497</v>
      </c>
    </row>
    <row r="60" spans="2:27" s="5" customFormat="1" x14ac:dyDescent="0.2">
      <c r="B60" s="16" t="s">
        <v>342</v>
      </c>
      <c r="C60" s="15" t="s">
        <v>2</v>
      </c>
      <c r="D60" s="23">
        <f>D25+D27+D29+D31+D33+D35+D37</f>
        <v>31093091</v>
      </c>
      <c r="E60" s="23">
        <f>E25+E27+E29+E31+E33+E35+E37</f>
        <v>3411370</v>
      </c>
      <c r="F60" s="23">
        <f>F25+F27+F29+F31+F33+F35+F37</f>
        <v>148325</v>
      </c>
      <c r="G60" s="23">
        <f>G25+G27+G29+G31+G33+G35+G37</f>
        <v>7636</v>
      </c>
      <c r="H60" s="23">
        <f t="shared" ref="H60:AA60" si="13">H25+H27+H29+H31+H33+H35+H37</f>
        <v>7104</v>
      </c>
      <c r="I60" s="23">
        <f t="shared" si="13"/>
        <v>6774</v>
      </c>
      <c r="J60" s="23">
        <f t="shared" si="13"/>
        <v>6863</v>
      </c>
      <c r="K60" s="23">
        <f t="shared" si="13"/>
        <v>6654</v>
      </c>
      <c r="L60" s="23">
        <f t="shared" si="13"/>
        <v>6655</v>
      </c>
      <c r="M60" s="23">
        <f t="shared" si="13"/>
        <v>7826</v>
      </c>
      <c r="N60" s="23">
        <f t="shared" si="13"/>
        <v>6033</v>
      </c>
      <c r="O60" s="23">
        <f t="shared" si="13"/>
        <v>7676</v>
      </c>
      <c r="P60" s="23">
        <f t="shared" si="13"/>
        <v>7215</v>
      </c>
      <c r="Q60" s="23">
        <f t="shared" si="13"/>
        <v>6746</v>
      </c>
      <c r="R60" s="23">
        <f t="shared" si="13"/>
        <v>8483</v>
      </c>
      <c r="S60" s="23">
        <f t="shared" si="13"/>
        <v>7173</v>
      </c>
      <c r="T60" s="23">
        <f t="shared" si="13"/>
        <v>7195</v>
      </c>
      <c r="U60" s="23">
        <f t="shared" si="13"/>
        <v>7383</v>
      </c>
      <c r="V60" s="23">
        <f t="shared" si="13"/>
        <v>6845</v>
      </c>
      <c r="W60" s="23">
        <f t="shared" si="13"/>
        <v>6860</v>
      </c>
      <c r="X60" s="23">
        <f t="shared" si="13"/>
        <v>6520</v>
      </c>
      <c r="Y60" s="23">
        <f t="shared" si="13"/>
        <v>7336</v>
      </c>
      <c r="Z60" s="23">
        <f t="shared" si="13"/>
        <v>7316</v>
      </c>
      <c r="AA60" s="23">
        <f t="shared" si="13"/>
        <v>6032</v>
      </c>
    </row>
    <row r="61" spans="2:27" s="5" customFormat="1" x14ac:dyDescent="0.2">
      <c r="B61" s="16"/>
      <c r="C61" s="15" t="s">
        <v>3</v>
      </c>
      <c r="D61" s="24">
        <f>D60/D47*100</f>
        <v>62.465457564917834</v>
      </c>
      <c r="E61" s="24">
        <f>E60/E47*100</f>
        <v>64.563633325150988</v>
      </c>
      <c r="F61" s="24">
        <f>F60/F47*100</f>
        <v>64.148585119863682</v>
      </c>
      <c r="G61" s="24">
        <f>G60/G47*100</f>
        <v>68.699955015744479</v>
      </c>
      <c r="H61" s="24">
        <f t="shared" ref="H61:AA61" si="14">H60/H47*100</f>
        <v>64.717135829461597</v>
      </c>
      <c r="I61" s="24">
        <f t="shared" si="14"/>
        <v>63.39728591483388</v>
      </c>
      <c r="J61" s="24">
        <f t="shared" si="14"/>
        <v>64.284376170850507</v>
      </c>
      <c r="K61" s="24">
        <f t="shared" si="14"/>
        <v>62.367607085949949</v>
      </c>
      <c r="L61" s="24">
        <f t="shared" si="14"/>
        <v>63.393027243284436</v>
      </c>
      <c r="M61" s="24">
        <f t="shared" si="14"/>
        <v>65.825553032214657</v>
      </c>
      <c r="N61" s="24">
        <f t="shared" si="14"/>
        <v>61.706044799018102</v>
      </c>
      <c r="O61" s="24">
        <f t="shared" si="14"/>
        <v>64.765440431994605</v>
      </c>
      <c r="P61" s="24">
        <f t="shared" si="14"/>
        <v>67.556179775280896</v>
      </c>
      <c r="Q61" s="24">
        <f t="shared" si="14"/>
        <v>62.549837737598516</v>
      </c>
      <c r="R61" s="24">
        <f t="shared" si="14"/>
        <v>64.318750473879746</v>
      </c>
      <c r="S61" s="24">
        <f t="shared" si="14"/>
        <v>66.349088890944401</v>
      </c>
      <c r="T61" s="24">
        <f t="shared" si="14"/>
        <v>62.0954517994304</v>
      </c>
      <c r="U61" s="24">
        <f t="shared" si="14"/>
        <v>65.209326974032848</v>
      </c>
      <c r="V61" s="24">
        <f t="shared" si="14"/>
        <v>61.878502983185676</v>
      </c>
      <c r="W61" s="24">
        <f t="shared" si="14"/>
        <v>63.944817300521997</v>
      </c>
      <c r="X61" s="24">
        <f t="shared" si="14"/>
        <v>63.609756097560975</v>
      </c>
      <c r="Y61" s="24">
        <f t="shared" si="14"/>
        <v>63.735881841876626</v>
      </c>
      <c r="Z61" s="24">
        <f t="shared" si="14"/>
        <v>63.744881066480787</v>
      </c>
      <c r="AA61" s="24">
        <f t="shared" si="14"/>
        <v>62.301177442677137</v>
      </c>
    </row>
    <row r="62" spans="2:27" s="5" customFormat="1" x14ac:dyDescent="0.2">
      <c r="B62" s="16" t="s">
        <v>330</v>
      </c>
      <c r="C62" s="15" t="s">
        <v>2</v>
      </c>
      <c r="D62" s="23">
        <f>D39+D41+D43+D45</f>
        <v>8660529</v>
      </c>
      <c r="E62" s="23">
        <f>E39+E41+E43+E45</f>
        <v>874571</v>
      </c>
      <c r="F62" s="23">
        <f>F39+F41+F43+F45</f>
        <v>40010</v>
      </c>
      <c r="G62" s="23">
        <f>G39+G41+G43+G45</f>
        <v>1632</v>
      </c>
      <c r="H62" s="23">
        <f t="shared" ref="H62:AA62" si="15">H39+H41+H43+H45</f>
        <v>1644</v>
      </c>
      <c r="I62" s="23">
        <f t="shared" si="15"/>
        <v>1882</v>
      </c>
      <c r="J62" s="23">
        <f t="shared" si="15"/>
        <v>1891</v>
      </c>
      <c r="K62" s="23">
        <f t="shared" si="15"/>
        <v>2160</v>
      </c>
      <c r="L62" s="23">
        <f t="shared" si="15"/>
        <v>1777</v>
      </c>
      <c r="M62" s="23">
        <f t="shared" si="15"/>
        <v>1627</v>
      </c>
      <c r="N62" s="23">
        <f t="shared" si="15"/>
        <v>2257</v>
      </c>
      <c r="O62" s="23">
        <f t="shared" si="15"/>
        <v>1930</v>
      </c>
      <c r="P62" s="23">
        <f t="shared" si="15"/>
        <v>1432</v>
      </c>
      <c r="Q62" s="23">
        <f t="shared" si="15"/>
        <v>2118</v>
      </c>
      <c r="R62" s="23">
        <f t="shared" si="15"/>
        <v>2077</v>
      </c>
      <c r="S62" s="23">
        <f t="shared" si="15"/>
        <v>1656</v>
      </c>
      <c r="T62" s="23">
        <f t="shared" si="15"/>
        <v>2416</v>
      </c>
      <c r="U62" s="23">
        <f t="shared" si="15"/>
        <v>1897</v>
      </c>
      <c r="V62" s="23">
        <f t="shared" si="15"/>
        <v>2299</v>
      </c>
      <c r="W62" s="23">
        <f t="shared" si="15"/>
        <v>1843</v>
      </c>
      <c r="X62" s="23">
        <f t="shared" si="15"/>
        <v>1522</v>
      </c>
      <c r="Y62" s="23">
        <f t="shared" si="15"/>
        <v>2075</v>
      </c>
      <c r="Z62" s="23">
        <f t="shared" si="15"/>
        <v>1949</v>
      </c>
      <c r="AA62" s="23">
        <f t="shared" si="15"/>
        <v>1926</v>
      </c>
    </row>
    <row r="63" spans="2:27" s="5" customFormat="1" x14ac:dyDescent="0.2">
      <c r="B63" s="16"/>
      <c r="C63" s="15" t="s">
        <v>3</v>
      </c>
      <c r="D63" s="7">
        <f>D62/D47*100</f>
        <v>17.398846153289821</v>
      </c>
      <c r="E63" s="7">
        <f>E62/E47*100</f>
        <v>16.552142207034308</v>
      </c>
      <c r="F63" s="7">
        <f>F62/F47*100</f>
        <v>17.303791610623602</v>
      </c>
      <c r="G63" s="7">
        <f>G62/G47*100</f>
        <v>14.682860998650471</v>
      </c>
      <c r="H63" s="7">
        <f t="shared" ref="H63:AA63" si="16">H62/H47*100</f>
        <v>14.976769609182835</v>
      </c>
      <c r="I63" s="7">
        <f t="shared" si="16"/>
        <v>17.613476836686946</v>
      </c>
      <c r="J63" s="7">
        <f t="shared" si="16"/>
        <v>17.712626451854625</v>
      </c>
      <c r="K63" s="7">
        <f t="shared" si="16"/>
        <v>20.245571281282221</v>
      </c>
      <c r="L63" s="7">
        <f t="shared" si="16"/>
        <v>16.927033720708707</v>
      </c>
      <c r="M63" s="7">
        <f t="shared" si="16"/>
        <v>13.684918832534276</v>
      </c>
      <c r="N63" s="7">
        <f t="shared" si="16"/>
        <v>23.084790835634653</v>
      </c>
      <c r="O63" s="7">
        <f t="shared" si="16"/>
        <v>16.284171447856902</v>
      </c>
      <c r="P63" s="7">
        <f t="shared" si="16"/>
        <v>13.408239700374533</v>
      </c>
      <c r="Q63" s="7">
        <f t="shared" si="16"/>
        <v>19.638386648122392</v>
      </c>
      <c r="R63" s="7">
        <f t="shared" si="16"/>
        <v>15.747971794677381</v>
      </c>
      <c r="S63" s="7">
        <f t="shared" si="16"/>
        <v>15.317731939691056</v>
      </c>
      <c r="T63" s="7">
        <f t="shared" si="16"/>
        <v>20.850953654958143</v>
      </c>
      <c r="U63" s="7">
        <f t="shared" si="16"/>
        <v>16.754990284402048</v>
      </c>
      <c r="V63" s="7">
        <f t="shared" si="16"/>
        <v>20.782860242270836</v>
      </c>
      <c r="W63" s="7">
        <f t="shared" si="16"/>
        <v>17.179343773303504</v>
      </c>
      <c r="X63" s="7">
        <f t="shared" si="16"/>
        <v>14.848780487804877</v>
      </c>
      <c r="Y63" s="7">
        <f t="shared" si="16"/>
        <v>18.02780191138141</v>
      </c>
      <c r="Z63" s="7">
        <f t="shared" si="16"/>
        <v>16.981789666289099</v>
      </c>
      <c r="AA63" s="7">
        <f t="shared" si="16"/>
        <v>19.892584176822968</v>
      </c>
    </row>
    <row r="64" spans="2:27" s="5" customFormat="1" x14ac:dyDescent="0.2">
      <c r="B64" s="190" t="s">
        <v>29</v>
      </c>
      <c r="C64" s="15" t="s">
        <v>2</v>
      </c>
      <c r="D64" s="39">
        <v>39.299999999999997</v>
      </c>
      <c r="E64" s="39">
        <v>39.4</v>
      </c>
      <c r="F64" s="39">
        <v>40.4</v>
      </c>
      <c r="G64" s="7">
        <v>38.9</v>
      </c>
      <c r="H64" s="7">
        <v>38.4</v>
      </c>
      <c r="I64" s="7">
        <v>40.4</v>
      </c>
      <c r="J64" s="7">
        <v>41.2</v>
      </c>
      <c r="K64" s="7">
        <v>42.6</v>
      </c>
      <c r="L64" s="7">
        <v>39.5</v>
      </c>
      <c r="M64" s="7">
        <v>37.799999999999997</v>
      </c>
      <c r="N64" s="7">
        <v>44.6</v>
      </c>
      <c r="O64" s="7">
        <v>39.799999999999997</v>
      </c>
      <c r="P64" s="7">
        <v>37.6</v>
      </c>
      <c r="Q64" s="7">
        <v>41.6</v>
      </c>
      <c r="R64" s="7">
        <v>39.1</v>
      </c>
      <c r="S64" s="7">
        <v>39.5</v>
      </c>
      <c r="T64" s="7">
        <v>44.1</v>
      </c>
      <c r="U64" s="7">
        <v>41.2</v>
      </c>
      <c r="V64" s="7">
        <v>42.2</v>
      </c>
      <c r="W64" s="7">
        <v>40.4</v>
      </c>
      <c r="X64" s="7">
        <v>38.1</v>
      </c>
      <c r="Y64" s="7">
        <v>40.200000000000003</v>
      </c>
      <c r="Z64" s="7">
        <v>39.700000000000003</v>
      </c>
      <c r="AA64" s="7">
        <v>41.7</v>
      </c>
    </row>
    <row r="65" spans="1:27" s="5" customFormat="1" x14ac:dyDescent="0.2">
      <c r="B65" s="191"/>
      <c r="C65" s="15" t="s">
        <v>3</v>
      </c>
      <c r="D65" s="39" t="s">
        <v>30</v>
      </c>
      <c r="E65" s="39" t="s">
        <v>30</v>
      </c>
      <c r="F65" s="39" t="s">
        <v>30</v>
      </c>
      <c r="G65" s="8" t="s">
        <v>30</v>
      </c>
      <c r="H65" s="8" t="s">
        <v>30</v>
      </c>
      <c r="I65" s="8" t="s">
        <v>30</v>
      </c>
      <c r="J65" s="8" t="s">
        <v>30</v>
      </c>
      <c r="K65" s="8" t="s">
        <v>30</v>
      </c>
      <c r="L65" s="8" t="s">
        <v>30</v>
      </c>
      <c r="M65" s="8" t="s">
        <v>30</v>
      </c>
      <c r="N65" s="8" t="s">
        <v>30</v>
      </c>
      <c r="O65" s="8" t="s">
        <v>30</v>
      </c>
      <c r="P65" s="8" t="s">
        <v>30</v>
      </c>
      <c r="Q65" s="8" t="s">
        <v>30</v>
      </c>
      <c r="R65" s="8" t="s">
        <v>30</v>
      </c>
      <c r="S65" s="8" t="s">
        <v>30</v>
      </c>
      <c r="T65" s="8" t="s">
        <v>30</v>
      </c>
      <c r="U65" s="8" t="s">
        <v>30</v>
      </c>
      <c r="V65" s="8" t="s">
        <v>30</v>
      </c>
      <c r="W65" s="8" t="s">
        <v>30</v>
      </c>
      <c r="X65" s="8" t="s">
        <v>30</v>
      </c>
      <c r="Y65" s="8" t="s">
        <v>30</v>
      </c>
      <c r="Z65" s="8" t="s">
        <v>30</v>
      </c>
      <c r="AA65" s="8" t="s">
        <v>30</v>
      </c>
    </row>
    <row r="66" spans="1:27" s="5" customFormat="1" x14ac:dyDescent="0.2">
      <c r="B66" s="190" t="s">
        <v>31</v>
      </c>
      <c r="C66" s="15" t="s">
        <v>2</v>
      </c>
      <c r="D66" s="39">
        <v>39</v>
      </c>
      <c r="E66" s="39">
        <v>39</v>
      </c>
      <c r="F66" s="39">
        <v>41</v>
      </c>
      <c r="G66" s="7">
        <v>38</v>
      </c>
      <c r="H66" s="7">
        <v>38</v>
      </c>
      <c r="I66" s="7">
        <v>41</v>
      </c>
      <c r="J66" s="7">
        <v>42</v>
      </c>
      <c r="K66" s="7">
        <v>44</v>
      </c>
      <c r="L66" s="7">
        <v>40</v>
      </c>
      <c r="M66" s="7">
        <v>38</v>
      </c>
      <c r="N66" s="7">
        <v>46</v>
      </c>
      <c r="O66" s="7">
        <v>40</v>
      </c>
      <c r="P66" s="7">
        <v>37</v>
      </c>
      <c r="Q66" s="7">
        <v>43</v>
      </c>
      <c r="R66" s="7">
        <v>39</v>
      </c>
      <c r="S66" s="7">
        <v>40</v>
      </c>
      <c r="T66" s="7">
        <v>47</v>
      </c>
      <c r="U66" s="7">
        <v>43</v>
      </c>
      <c r="V66" s="7">
        <v>43</v>
      </c>
      <c r="W66" s="7">
        <v>42</v>
      </c>
      <c r="X66" s="7">
        <v>38</v>
      </c>
      <c r="Y66" s="7">
        <v>41</v>
      </c>
      <c r="Z66" s="7">
        <v>40</v>
      </c>
      <c r="AA66" s="7">
        <v>43</v>
      </c>
    </row>
    <row r="67" spans="1:27" s="5" customFormat="1" x14ac:dyDescent="0.2">
      <c r="B67" s="191"/>
      <c r="C67" s="15" t="s">
        <v>3</v>
      </c>
      <c r="D67" s="39" t="s">
        <v>30</v>
      </c>
      <c r="E67" s="39" t="s">
        <v>30</v>
      </c>
      <c r="F67" s="39" t="s">
        <v>30</v>
      </c>
      <c r="G67" s="8" t="s">
        <v>30</v>
      </c>
      <c r="H67" s="8" t="s">
        <v>30</v>
      </c>
      <c r="I67" s="8" t="s">
        <v>30</v>
      </c>
      <c r="J67" s="8" t="s">
        <v>30</v>
      </c>
      <c r="K67" s="8" t="s">
        <v>30</v>
      </c>
      <c r="L67" s="8" t="s">
        <v>30</v>
      </c>
      <c r="M67" s="8" t="s">
        <v>30</v>
      </c>
      <c r="N67" s="8" t="s">
        <v>30</v>
      </c>
      <c r="O67" s="8" t="s">
        <v>30</v>
      </c>
      <c r="P67" s="8" t="s">
        <v>30</v>
      </c>
      <c r="Q67" s="8" t="s">
        <v>30</v>
      </c>
      <c r="R67" s="8" t="s">
        <v>30</v>
      </c>
      <c r="S67" s="8" t="s">
        <v>30</v>
      </c>
      <c r="T67" s="8" t="s">
        <v>30</v>
      </c>
      <c r="U67" s="8" t="s">
        <v>30</v>
      </c>
      <c r="V67" s="8" t="s">
        <v>30</v>
      </c>
      <c r="W67" s="8" t="s">
        <v>30</v>
      </c>
      <c r="X67" s="8" t="s">
        <v>30</v>
      </c>
      <c r="Y67" s="8" t="s">
        <v>30</v>
      </c>
      <c r="Z67" s="8" t="s">
        <v>30</v>
      </c>
      <c r="AA67" s="8" t="s">
        <v>30</v>
      </c>
    </row>
    <row r="68" spans="1:27" s="5" customFormat="1" x14ac:dyDescent="0.2">
      <c r="A68" s="5" t="s">
        <v>312</v>
      </c>
      <c r="B68" s="192" t="s">
        <v>56</v>
      </c>
      <c r="C68" s="18" t="s">
        <v>2</v>
      </c>
      <c r="D68" s="39">
        <v>53012456</v>
      </c>
      <c r="E68" s="39">
        <v>5283733</v>
      </c>
      <c r="F68" s="39">
        <v>231221</v>
      </c>
      <c r="G68" s="1">
        <v>11115</v>
      </c>
      <c r="H68" s="1">
        <v>10977</v>
      </c>
      <c r="I68" s="1">
        <v>10685</v>
      </c>
      <c r="J68" s="1">
        <v>10676</v>
      </c>
      <c r="K68" s="1">
        <v>10669</v>
      </c>
      <c r="L68" s="1">
        <v>10498</v>
      </c>
      <c r="M68" s="1">
        <v>11889</v>
      </c>
      <c r="N68" s="1">
        <v>9777</v>
      </c>
      <c r="O68" s="1">
        <v>11852</v>
      </c>
      <c r="P68" s="1">
        <v>10680</v>
      </c>
      <c r="Q68" s="1">
        <v>10785</v>
      </c>
      <c r="R68" s="1">
        <v>13189</v>
      </c>
      <c r="S68" s="1">
        <v>10811</v>
      </c>
      <c r="T68" s="1">
        <v>11587</v>
      </c>
      <c r="U68" s="1">
        <v>11322</v>
      </c>
      <c r="V68" s="1">
        <v>11062</v>
      </c>
      <c r="W68" s="1">
        <v>10728</v>
      </c>
      <c r="X68" s="1">
        <v>10250</v>
      </c>
      <c r="Y68" s="1">
        <v>11510</v>
      </c>
      <c r="Z68" s="1">
        <v>11477</v>
      </c>
      <c r="AA68" s="1">
        <v>9682</v>
      </c>
    </row>
    <row r="69" spans="1:27" s="5" customFormat="1" x14ac:dyDescent="0.2">
      <c r="B69" s="193"/>
      <c r="C69" s="18" t="s">
        <v>3</v>
      </c>
      <c r="D69" s="39">
        <v>100</v>
      </c>
      <c r="E69" s="39">
        <v>100</v>
      </c>
      <c r="F69" s="39">
        <v>100</v>
      </c>
      <c r="G69" s="2">
        <v>100</v>
      </c>
      <c r="H69" s="2">
        <v>100</v>
      </c>
      <c r="I69" s="2">
        <v>100</v>
      </c>
      <c r="J69" s="2">
        <v>100</v>
      </c>
      <c r="K69" s="2">
        <v>100</v>
      </c>
      <c r="L69" s="2">
        <v>100</v>
      </c>
      <c r="M69" s="2">
        <v>100</v>
      </c>
      <c r="N69" s="2">
        <v>100</v>
      </c>
      <c r="O69" s="2">
        <v>100</v>
      </c>
      <c r="P69" s="2">
        <v>100</v>
      </c>
      <c r="Q69" s="2">
        <v>100</v>
      </c>
      <c r="R69" s="2">
        <v>100</v>
      </c>
      <c r="S69" s="2">
        <v>100</v>
      </c>
      <c r="T69" s="2">
        <v>100</v>
      </c>
      <c r="U69" s="2">
        <v>100</v>
      </c>
      <c r="V69" s="2">
        <v>100</v>
      </c>
      <c r="W69" s="2">
        <v>100</v>
      </c>
      <c r="X69" s="2">
        <v>100</v>
      </c>
      <c r="Y69" s="2">
        <v>100</v>
      </c>
      <c r="Z69" s="2">
        <v>100</v>
      </c>
      <c r="AA69" s="2">
        <v>100</v>
      </c>
    </row>
    <row r="70" spans="1:27" s="5" customFormat="1" x14ac:dyDescent="0.2">
      <c r="B70" s="192" t="s">
        <v>103</v>
      </c>
      <c r="C70" s="18" t="s">
        <v>2</v>
      </c>
      <c r="D70" s="39">
        <v>45281142</v>
      </c>
      <c r="E70" s="39">
        <v>4691956</v>
      </c>
      <c r="F70" s="39">
        <v>226285</v>
      </c>
      <c r="G70" s="1">
        <v>10642</v>
      </c>
      <c r="H70" s="1">
        <v>10788</v>
      </c>
      <c r="I70" s="1">
        <v>10470</v>
      </c>
      <c r="J70" s="1">
        <v>10449</v>
      </c>
      <c r="K70" s="1">
        <v>10491</v>
      </c>
      <c r="L70" s="1">
        <v>10328</v>
      </c>
      <c r="M70" s="1">
        <v>11700</v>
      </c>
      <c r="N70" s="1">
        <v>9545</v>
      </c>
      <c r="O70" s="1">
        <v>11648</v>
      </c>
      <c r="P70" s="1">
        <v>10175</v>
      </c>
      <c r="Q70" s="1">
        <v>10606</v>
      </c>
      <c r="R70" s="1">
        <v>12983</v>
      </c>
      <c r="S70" s="1">
        <v>10411</v>
      </c>
      <c r="T70" s="1">
        <v>11418</v>
      </c>
      <c r="U70" s="1">
        <v>11144</v>
      </c>
      <c r="V70" s="1">
        <v>10901</v>
      </c>
      <c r="W70" s="1">
        <v>10605</v>
      </c>
      <c r="X70" s="1">
        <v>10031</v>
      </c>
      <c r="Y70" s="1">
        <v>11225</v>
      </c>
      <c r="Z70" s="1">
        <v>11302</v>
      </c>
      <c r="AA70" s="1">
        <v>9423</v>
      </c>
    </row>
    <row r="71" spans="1:27" s="5" customFormat="1" x14ac:dyDescent="0.2">
      <c r="B71" s="193"/>
      <c r="C71" s="18" t="s">
        <v>3</v>
      </c>
      <c r="D71" s="39">
        <v>85.4</v>
      </c>
      <c r="E71" s="39">
        <v>88.8</v>
      </c>
      <c r="F71" s="39">
        <v>97.9</v>
      </c>
      <c r="G71" s="2">
        <v>95.7</v>
      </c>
      <c r="H71" s="2">
        <v>98.3</v>
      </c>
      <c r="I71" s="2">
        <v>98</v>
      </c>
      <c r="J71" s="2">
        <v>97.9</v>
      </c>
      <c r="K71" s="2">
        <v>98.3</v>
      </c>
      <c r="L71" s="2">
        <v>98.4</v>
      </c>
      <c r="M71" s="2">
        <v>98.4</v>
      </c>
      <c r="N71" s="2">
        <v>97.6</v>
      </c>
      <c r="O71" s="2">
        <v>98.3</v>
      </c>
      <c r="P71" s="2">
        <v>95.3</v>
      </c>
      <c r="Q71" s="2">
        <v>98.3</v>
      </c>
      <c r="R71" s="2">
        <v>98.4</v>
      </c>
      <c r="S71" s="2">
        <v>96.3</v>
      </c>
      <c r="T71" s="2">
        <v>98.5</v>
      </c>
      <c r="U71" s="2">
        <v>98.4</v>
      </c>
      <c r="V71" s="2">
        <v>98.5</v>
      </c>
      <c r="W71" s="2">
        <v>98.9</v>
      </c>
      <c r="X71" s="2">
        <v>97.9</v>
      </c>
      <c r="Y71" s="2">
        <v>97.5</v>
      </c>
      <c r="Z71" s="2">
        <v>98.5</v>
      </c>
      <c r="AA71" s="2">
        <v>97.3</v>
      </c>
    </row>
    <row r="72" spans="1:27" s="5" customFormat="1" x14ac:dyDescent="0.2">
      <c r="B72" s="192" t="s">
        <v>104</v>
      </c>
      <c r="C72" s="18" t="s">
        <v>2</v>
      </c>
      <c r="D72" s="39">
        <v>1192879</v>
      </c>
      <c r="E72" s="39">
        <v>84558</v>
      </c>
      <c r="F72" s="39">
        <v>1630</v>
      </c>
      <c r="G72" s="1">
        <v>89</v>
      </c>
      <c r="H72" s="1">
        <v>74</v>
      </c>
      <c r="I72" s="1">
        <v>90</v>
      </c>
      <c r="J72" s="1">
        <v>81</v>
      </c>
      <c r="K72" s="1">
        <v>49</v>
      </c>
      <c r="L72" s="1">
        <v>81</v>
      </c>
      <c r="M72" s="1">
        <v>94</v>
      </c>
      <c r="N72" s="1">
        <v>47</v>
      </c>
      <c r="O72" s="1">
        <v>90</v>
      </c>
      <c r="P72" s="1">
        <v>120</v>
      </c>
      <c r="Q72" s="1">
        <v>64</v>
      </c>
      <c r="R72" s="1">
        <v>97</v>
      </c>
      <c r="S72" s="1">
        <v>80</v>
      </c>
      <c r="T72" s="1">
        <v>86</v>
      </c>
      <c r="U72" s="1">
        <v>82</v>
      </c>
      <c r="V72" s="1">
        <v>78</v>
      </c>
      <c r="W72" s="1">
        <v>49</v>
      </c>
      <c r="X72" s="1">
        <v>76</v>
      </c>
      <c r="Y72" s="1">
        <v>63</v>
      </c>
      <c r="Z72" s="1">
        <v>79</v>
      </c>
      <c r="AA72" s="1">
        <v>61</v>
      </c>
    </row>
    <row r="73" spans="1:27" s="5" customFormat="1" x14ac:dyDescent="0.2">
      <c r="B73" s="193"/>
      <c r="C73" s="18" t="s">
        <v>3</v>
      </c>
      <c r="D73" s="39">
        <v>2.2999999999999998</v>
      </c>
      <c r="E73" s="39">
        <v>1.6</v>
      </c>
      <c r="F73" s="39">
        <v>0.7</v>
      </c>
      <c r="G73" s="2">
        <v>0.8</v>
      </c>
      <c r="H73" s="2">
        <v>0.7</v>
      </c>
      <c r="I73" s="2">
        <v>0.8</v>
      </c>
      <c r="J73" s="2">
        <v>0.8</v>
      </c>
      <c r="K73" s="2">
        <v>0.5</v>
      </c>
      <c r="L73" s="2">
        <v>0.8</v>
      </c>
      <c r="M73" s="2">
        <v>0.8</v>
      </c>
      <c r="N73" s="2">
        <v>0.5</v>
      </c>
      <c r="O73" s="2">
        <v>0.8</v>
      </c>
      <c r="P73" s="2">
        <v>1.1000000000000001</v>
      </c>
      <c r="Q73" s="2">
        <v>0.6</v>
      </c>
      <c r="R73" s="2">
        <v>0.7</v>
      </c>
      <c r="S73" s="2">
        <v>0.7</v>
      </c>
      <c r="T73" s="2">
        <v>0.7</v>
      </c>
      <c r="U73" s="2">
        <v>0.7</v>
      </c>
      <c r="V73" s="2">
        <v>0.7</v>
      </c>
      <c r="W73" s="2">
        <v>0.5</v>
      </c>
      <c r="X73" s="2">
        <v>0.7</v>
      </c>
      <c r="Y73" s="2">
        <v>0.5</v>
      </c>
      <c r="Z73" s="2">
        <v>0.7</v>
      </c>
      <c r="AA73" s="2">
        <v>0.6</v>
      </c>
    </row>
    <row r="74" spans="1:27" s="5" customFormat="1" x14ac:dyDescent="0.2">
      <c r="B74" s="192" t="s">
        <v>105</v>
      </c>
      <c r="C74" s="18" t="s">
        <v>2</v>
      </c>
      <c r="D74" s="39">
        <v>4143403</v>
      </c>
      <c r="E74" s="39">
        <v>385964</v>
      </c>
      <c r="F74" s="39">
        <v>1661</v>
      </c>
      <c r="G74" s="1">
        <v>132</v>
      </c>
      <c r="H74" s="1">
        <v>58</v>
      </c>
      <c r="I74" s="1">
        <v>68</v>
      </c>
      <c r="J74" s="1">
        <v>95</v>
      </c>
      <c r="K74" s="1">
        <v>78</v>
      </c>
      <c r="L74" s="1">
        <v>42</v>
      </c>
      <c r="M74" s="1">
        <v>41</v>
      </c>
      <c r="N74" s="1">
        <v>140</v>
      </c>
      <c r="O74" s="1">
        <v>60</v>
      </c>
      <c r="P74" s="1">
        <v>203</v>
      </c>
      <c r="Q74" s="1">
        <v>52</v>
      </c>
      <c r="R74" s="1">
        <v>49</v>
      </c>
      <c r="S74" s="1">
        <v>179</v>
      </c>
      <c r="T74" s="1">
        <v>47</v>
      </c>
      <c r="U74" s="1">
        <v>66</v>
      </c>
      <c r="V74" s="1">
        <v>27</v>
      </c>
      <c r="W74" s="1">
        <v>39</v>
      </c>
      <c r="X74" s="1">
        <v>69</v>
      </c>
      <c r="Y74" s="1">
        <v>82</v>
      </c>
      <c r="Z74" s="1">
        <v>43</v>
      </c>
      <c r="AA74" s="1">
        <v>91</v>
      </c>
    </row>
    <row r="75" spans="1:27" s="5" customFormat="1" x14ac:dyDescent="0.2">
      <c r="B75" s="193"/>
      <c r="C75" s="18" t="s">
        <v>3</v>
      </c>
      <c r="D75" s="39">
        <v>7.8</v>
      </c>
      <c r="E75" s="39">
        <v>7.3</v>
      </c>
      <c r="F75" s="39">
        <v>0.7</v>
      </c>
      <c r="G75" s="2">
        <v>1.2</v>
      </c>
      <c r="H75" s="2">
        <v>0.5</v>
      </c>
      <c r="I75" s="2">
        <v>0.6</v>
      </c>
      <c r="J75" s="2">
        <v>0.9</v>
      </c>
      <c r="K75" s="2">
        <v>0.7</v>
      </c>
      <c r="L75" s="2">
        <v>0.4</v>
      </c>
      <c r="M75" s="2">
        <v>0.3</v>
      </c>
      <c r="N75" s="2">
        <v>1.4</v>
      </c>
      <c r="O75" s="2">
        <v>0.5</v>
      </c>
      <c r="P75" s="2">
        <v>1.9</v>
      </c>
      <c r="Q75" s="2">
        <v>0.5</v>
      </c>
      <c r="R75" s="2">
        <v>0.4</v>
      </c>
      <c r="S75" s="2">
        <v>1.7</v>
      </c>
      <c r="T75" s="2">
        <v>0.4</v>
      </c>
      <c r="U75" s="2">
        <v>0.6</v>
      </c>
      <c r="V75" s="2">
        <v>0.2</v>
      </c>
      <c r="W75" s="2">
        <v>0.4</v>
      </c>
      <c r="X75" s="2">
        <v>0.7</v>
      </c>
      <c r="Y75" s="2">
        <v>0.7</v>
      </c>
      <c r="Z75" s="2">
        <v>0.4</v>
      </c>
      <c r="AA75" s="2">
        <v>0.9</v>
      </c>
    </row>
    <row r="76" spans="1:27" s="5" customFormat="1" x14ac:dyDescent="0.2">
      <c r="B76" s="192" t="s">
        <v>106</v>
      </c>
      <c r="C76" s="18" t="s">
        <v>2</v>
      </c>
      <c r="D76" s="39">
        <v>1846614</v>
      </c>
      <c r="E76" s="39">
        <v>80345</v>
      </c>
      <c r="F76" s="39">
        <v>1221</v>
      </c>
      <c r="G76" s="1">
        <v>192</v>
      </c>
      <c r="H76" s="1">
        <v>52</v>
      </c>
      <c r="I76" s="1">
        <v>49</v>
      </c>
      <c r="J76" s="1">
        <v>23</v>
      </c>
      <c r="K76" s="1">
        <v>34</v>
      </c>
      <c r="L76" s="1">
        <v>35</v>
      </c>
      <c r="M76" s="1">
        <v>40</v>
      </c>
      <c r="N76" s="1">
        <v>14</v>
      </c>
      <c r="O76" s="1">
        <v>40</v>
      </c>
      <c r="P76" s="1">
        <v>140</v>
      </c>
      <c r="Q76" s="1">
        <v>51</v>
      </c>
      <c r="R76" s="1">
        <v>39</v>
      </c>
      <c r="S76" s="1">
        <v>96</v>
      </c>
      <c r="T76" s="1">
        <v>18</v>
      </c>
      <c r="U76" s="1">
        <v>20</v>
      </c>
      <c r="V76" s="1">
        <v>40</v>
      </c>
      <c r="W76" s="1">
        <v>19</v>
      </c>
      <c r="X76" s="1">
        <v>62</v>
      </c>
      <c r="Y76" s="1">
        <v>124</v>
      </c>
      <c r="Z76" s="1">
        <v>43</v>
      </c>
      <c r="AA76" s="1">
        <v>90</v>
      </c>
    </row>
    <row r="77" spans="1:27" s="5" customFormat="1" x14ac:dyDescent="0.2">
      <c r="B77" s="193"/>
      <c r="C77" s="18" t="s">
        <v>3</v>
      </c>
      <c r="D77" s="39">
        <v>3.5</v>
      </c>
      <c r="E77" s="39">
        <v>1.5</v>
      </c>
      <c r="F77" s="39">
        <v>0.5</v>
      </c>
      <c r="G77" s="2">
        <v>1.7</v>
      </c>
      <c r="H77" s="2">
        <v>0.5</v>
      </c>
      <c r="I77" s="2">
        <v>0.5</v>
      </c>
      <c r="J77" s="2">
        <v>0.2</v>
      </c>
      <c r="K77" s="2">
        <v>0.3</v>
      </c>
      <c r="L77" s="2">
        <v>0.3</v>
      </c>
      <c r="M77" s="2">
        <v>0.3</v>
      </c>
      <c r="N77" s="2">
        <v>0.1</v>
      </c>
      <c r="O77" s="2">
        <v>0.3</v>
      </c>
      <c r="P77" s="2">
        <v>1.3</v>
      </c>
      <c r="Q77" s="2">
        <v>0.5</v>
      </c>
      <c r="R77" s="2">
        <v>0.3</v>
      </c>
      <c r="S77" s="2">
        <v>0.9</v>
      </c>
      <c r="T77" s="2">
        <v>0.2</v>
      </c>
      <c r="U77" s="2">
        <v>0.2</v>
      </c>
      <c r="V77" s="2">
        <v>0.4</v>
      </c>
      <c r="W77" s="2">
        <v>0.2</v>
      </c>
      <c r="X77" s="2">
        <v>0.6</v>
      </c>
      <c r="Y77" s="2">
        <v>1.1000000000000001</v>
      </c>
      <c r="Z77" s="2">
        <v>0.4</v>
      </c>
      <c r="AA77" s="2">
        <v>0.9</v>
      </c>
    </row>
    <row r="78" spans="1:27" s="5" customFormat="1" x14ac:dyDescent="0.2">
      <c r="B78" s="192" t="s">
        <v>107</v>
      </c>
      <c r="C78" s="18" t="s">
        <v>2</v>
      </c>
      <c r="D78" s="39">
        <v>548418</v>
      </c>
      <c r="E78" s="39">
        <v>40910</v>
      </c>
      <c r="F78" s="39">
        <v>424</v>
      </c>
      <c r="G78" s="1">
        <v>60</v>
      </c>
      <c r="H78" s="1">
        <v>5</v>
      </c>
      <c r="I78" s="1">
        <v>8</v>
      </c>
      <c r="J78" s="1">
        <v>28</v>
      </c>
      <c r="K78" s="1">
        <v>17</v>
      </c>
      <c r="L78" s="1">
        <v>12</v>
      </c>
      <c r="M78" s="1">
        <v>14</v>
      </c>
      <c r="N78" s="1">
        <v>31</v>
      </c>
      <c r="O78" s="1">
        <v>14</v>
      </c>
      <c r="P78" s="1">
        <v>42</v>
      </c>
      <c r="Q78" s="1">
        <v>12</v>
      </c>
      <c r="R78" s="1">
        <v>21</v>
      </c>
      <c r="S78" s="1">
        <v>45</v>
      </c>
      <c r="T78" s="1">
        <v>18</v>
      </c>
      <c r="U78" s="1">
        <v>10</v>
      </c>
      <c r="V78" s="1">
        <v>16</v>
      </c>
      <c r="W78" s="1">
        <v>16</v>
      </c>
      <c r="X78" s="1">
        <v>12</v>
      </c>
      <c r="Y78" s="1">
        <v>16</v>
      </c>
      <c r="Z78" s="1">
        <v>10</v>
      </c>
      <c r="AA78" s="1">
        <v>17</v>
      </c>
    </row>
    <row r="79" spans="1:27" s="5" customFormat="1" x14ac:dyDescent="0.2">
      <c r="B79" s="193"/>
      <c r="C79" s="18" t="s">
        <v>3</v>
      </c>
      <c r="D79" s="39">
        <v>1</v>
      </c>
      <c r="E79" s="39">
        <v>0.8</v>
      </c>
      <c r="F79" s="39">
        <v>0.2</v>
      </c>
      <c r="G79" s="2">
        <v>0.5</v>
      </c>
      <c r="H79" s="2">
        <v>0</v>
      </c>
      <c r="I79" s="2">
        <v>0.1</v>
      </c>
      <c r="J79" s="2">
        <v>0.3</v>
      </c>
      <c r="K79" s="2">
        <v>0.2</v>
      </c>
      <c r="L79" s="2">
        <v>0.1</v>
      </c>
      <c r="M79" s="2">
        <v>0.1</v>
      </c>
      <c r="N79" s="2">
        <v>0.3</v>
      </c>
      <c r="O79" s="2">
        <v>0.1</v>
      </c>
      <c r="P79" s="2">
        <v>0.4</v>
      </c>
      <c r="Q79" s="2">
        <v>0.1</v>
      </c>
      <c r="R79" s="2">
        <v>0.2</v>
      </c>
      <c r="S79" s="2">
        <v>0.4</v>
      </c>
      <c r="T79" s="2">
        <v>0.2</v>
      </c>
      <c r="U79" s="2">
        <v>0.1</v>
      </c>
      <c r="V79" s="2">
        <v>0.1</v>
      </c>
      <c r="W79" s="2">
        <v>0.1</v>
      </c>
      <c r="X79" s="2">
        <v>0.1</v>
      </c>
      <c r="Y79" s="2">
        <v>0.1</v>
      </c>
      <c r="Z79" s="2">
        <v>0.1</v>
      </c>
      <c r="AA79" s="2">
        <v>0.2</v>
      </c>
    </row>
    <row r="80" spans="1:27" s="5" customFormat="1" x14ac:dyDescent="0.2">
      <c r="A80" s="5" t="s">
        <v>68</v>
      </c>
      <c r="B80" s="190" t="s">
        <v>56</v>
      </c>
      <c r="C80" s="15" t="s">
        <v>2</v>
      </c>
      <c r="D80" s="39">
        <v>53012456</v>
      </c>
      <c r="E80" s="39">
        <v>5283733</v>
      </c>
      <c r="F80" s="39">
        <v>231221</v>
      </c>
      <c r="G80" s="6">
        <v>11115</v>
      </c>
      <c r="H80" s="6">
        <v>10977</v>
      </c>
      <c r="I80" s="6">
        <v>10685</v>
      </c>
      <c r="J80" s="6">
        <v>10676</v>
      </c>
      <c r="K80" s="6">
        <v>10669</v>
      </c>
      <c r="L80" s="6">
        <v>10498</v>
      </c>
      <c r="M80" s="6">
        <v>11889</v>
      </c>
      <c r="N80" s="6">
        <v>9777</v>
      </c>
      <c r="O80" s="6">
        <v>11852</v>
      </c>
      <c r="P80" s="6">
        <v>10680</v>
      </c>
      <c r="Q80" s="6">
        <v>10785</v>
      </c>
      <c r="R80" s="6">
        <v>13189</v>
      </c>
      <c r="S80" s="6">
        <v>10811</v>
      </c>
      <c r="T80" s="6">
        <v>11587</v>
      </c>
      <c r="U80" s="6">
        <v>11322</v>
      </c>
      <c r="V80" s="6">
        <v>11062</v>
      </c>
      <c r="W80" s="6">
        <v>10728</v>
      </c>
      <c r="X80" s="6">
        <v>10250</v>
      </c>
      <c r="Y80" s="6">
        <v>11510</v>
      </c>
      <c r="Z80" s="6">
        <v>11477</v>
      </c>
      <c r="AA80" s="6">
        <v>9682</v>
      </c>
    </row>
    <row r="81" spans="2:27" s="5" customFormat="1" x14ac:dyDescent="0.2">
      <c r="B81" s="191"/>
      <c r="C81" s="15" t="s">
        <v>3</v>
      </c>
      <c r="D81" s="39">
        <v>100</v>
      </c>
      <c r="E81" s="39">
        <v>100</v>
      </c>
      <c r="F81" s="39">
        <v>100</v>
      </c>
      <c r="G81" s="7">
        <v>100</v>
      </c>
      <c r="H81" s="7">
        <v>100</v>
      </c>
      <c r="I81" s="7">
        <v>100</v>
      </c>
      <c r="J81" s="7">
        <v>100</v>
      </c>
      <c r="K81" s="7">
        <v>100</v>
      </c>
      <c r="L81" s="7">
        <v>100</v>
      </c>
      <c r="M81" s="7">
        <v>100</v>
      </c>
      <c r="N81" s="7">
        <v>100</v>
      </c>
      <c r="O81" s="7">
        <v>100</v>
      </c>
      <c r="P81" s="7">
        <v>100</v>
      </c>
      <c r="Q81" s="7">
        <v>100</v>
      </c>
      <c r="R81" s="7">
        <v>100</v>
      </c>
      <c r="S81" s="7">
        <v>100</v>
      </c>
      <c r="T81" s="7">
        <v>100</v>
      </c>
      <c r="U81" s="7">
        <v>100</v>
      </c>
      <c r="V81" s="7">
        <v>100</v>
      </c>
      <c r="W81" s="7">
        <v>100</v>
      </c>
      <c r="X81" s="7">
        <v>100</v>
      </c>
      <c r="Y81" s="7">
        <v>100</v>
      </c>
      <c r="Z81" s="7">
        <v>100</v>
      </c>
      <c r="AA81" s="7">
        <v>100</v>
      </c>
    </row>
    <row r="82" spans="2:27" s="5" customFormat="1" x14ac:dyDescent="0.2">
      <c r="B82" s="190" t="s">
        <v>57</v>
      </c>
      <c r="C82" s="15" t="s">
        <v>2</v>
      </c>
      <c r="D82" s="39">
        <v>45675317</v>
      </c>
      <c r="E82" s="39">
        <v>4819042</v>
      </c>
      <c r="F82" s="39">
        <v>223418</v>
      </c>
      <c r="G82" s="6">
        <v>10223</v>
      </c>
      <c r="H82" s="6">
        <v>10674</v>
      </c>
      <c r="I82" s="6">
        <v>10346</v>
      </c>
      <c r="J82" s="6">
        <v>10317</v>
      </c>
      <c r="K82" s="6">
        <v>10394</v>
      </c>
      <c r="L82" s="6">
        <v>10263</v>
      </c>
      <c r="M82" s="6">
        <v>11618</v>
      </c>
      <c r="N82" s="6">
        <v>9452</v>
      </c>
      <c r="O82" s="6">
        <v>11581</v>
      </c>
      <c r="P82" s="6">
        <v>9842</v>
      </c>
      <c r="Q82" s="6">
        <v>10516</v>
      </c>
      <c r="R82" s="6">
        <v>12824</v>
      </c>
      <c r="S82" s="6">
        <v>10204</v>
      </c>
      <c r="T82" s="6">
        <v>11265</v>
      </c>
      <c r="U82" s="6">
        <v>11032</v>
      </c>
      <c r="V82" s="6">
        <v>10829</v>
      </c>
      <c r="W82" s="6">
        <v>10515</v>
      </c>
      <c r="X82" s="6">
        <v>9934</v>
      </c>
      <c r="Y82" s="6">
        <v>11063</v>
      </c>
      <c r="Z82" s="6">
        <v>11176</v>
      </c>
      <c r="AA82" s="6">
        <v>9350</v>
      </c>
    </row>
    <row r="83" spans="2:27" s="5" customFormat="1" x14ac:dyDescent="0.2">
      <c r="B83" s="191"/>
      <c r="C83" s="15" t="s">
        <v>3</v>
      </c>
      <c r="D83" s="39">
        <v>86.2</v>
      </c>
      <c r="E83" s="39">
        <v>91.2</v>
      </c>
      <c r="F83" s="39">
        <v>96.6</v>
      </c>
      <c r="G83" s="7">
        <v>92</v>
      </c>
      <c r="H83" s="7">
        <v>97.2</v>
      </c>
      <c r="I83" s="7">
        <v>96.8</v>
      </c>
      <c r="J83" s="7">
        <v>96.6</v>
      </c>
      <c r="K83" s="7">
        <v>97.4</v>
      </c>
      <c r="L83" s="7">
        <v>97.8</v>
      </c>
      <c r="M83" s="7">
        <v>97.7</v>
      </c>
      <c r="N83" s="7">
        <v>96.7</v>
      </c>
      <c r="O83" s="7">
        <v>97.7</v>
      </c>
      <c r="P83" s="7">
        <v>92.2</v>
      </c>
      <c r="Q83" s="7">
        <v>97.5</v>
      </c>
      <c r="R83" s="7">
        <v>97.2</v>
      </c>
      <c r="S83" s="7">
        <v>94.4</v>
      </c>
      <c r="T83" s="7">
        <v>97.2</v>
      </c>
      <c r="U83" s="7">
        <v>97.4</v>
      </c>
      <c r="V83" s="7">
        <v>97.9</v>
      </c>
      <c r="W83" s="7">
        <v>98</v>
      </c>
      <c r="X83" s="7">
        <v>96.9</v>
      </c>
      <c r="Y83" s="7">
        <v>96.1</v>
      </c>
      <c r="Z83" s="7">
        <v>97.4</v>
      </c>
      <c r="AA83" s="7">
        <v>96.6</v>
      </c>
    </row>
    <row r="84" spans="2:27" s="5" customFormat="1" x14ac:dyDescent="0.2">
      <c r="B84" s="190" t="s">
        <v>58</v>
      </c>
      <c r="C84" s="15" t="s">
        <v>2</v>
      </c>
      <c r="D84" s="39">
        <v>44246592</v>
      </c>
      <c r="E84" s="39">
        <v>4706892</v>
      </c>
      <c r="F84" s="39">
        <v>220224</v>
      </c>
      <c r="G84" s="6">
        <v>10069</v>
      </c>
      <c r="H84" s="6">
        <v>10508</v>
      </c>
      <c r="I84" s="6">
        <v>10203</v>
      </c>
      <c r="J84" s="6">
        <v>10186</v>
      </c>
      <c r="K84" s="6">
        <v>10255</v>
      </c>
      <c r="L84" s="6">
        <v>10123</v>
      </c>
      <c r="M84" s="6">
        <v>11414</v>
      </c>
      <c r="N84" s="6">
        <v>9316</v>
      </c>
      <c r="O84" s="6">
        <v>11449</v>
      </c>
      <c r="P84" s="6">
        <v>9715</v>
      </c>
      <c r="Q84" s="6">
        <v>10360</v>
      </c>
      <c r="R84" s="6">
        <v>12655</v>
      </c>
      <c r="S84" s="6">
        <v>10081</v>
      </c>
      <c r="T84" s="6">
        <v>11054</v>
      </c>
      <c r="U84" s="6">
        <v>10795</v>
      </c>
      <c r="V84" s="6">
        <v>10690</v>
      </c>
      <c r="W84" s="6">
        <v>10357</v>
      </c>
      <c r="X84" s="6">
        <v>9785</v>
      </c>
      <c r="Y84" s="6">
        <v>10919</v>
      </c>
      <c r="Z84" s="6">
        <v>11058</v>
      </c>
      <c r="AA84" s="6">
        <v>9232</v>
      </c>
    </row>
    <row r="85" spans="2:27" s="5" customFormat="1" x14ac:dyDescent="0.2">
      <c r="B85" s="191"/>
      <c r="C85" s="15" t="s">
        <v>3</v>
      </c>
      <c r="D85" s="39">
        <v>83.5</v>
      </c>
      <c r="E85" s="39">
        <v>89.1</v>
      </c>
      <c r="F85" s="39">
        <v>95.2</v>
      </c>
      <c r="G85" s="7">
        <v>90.6</v>
      </c>
      <c r="H85" s="7">
        <v>95.7</v>
      </c>
      <c r="I85" s="7">
        <v>95.5</v>
      </c>
      <c r="J85" s="7">
        <v>95.4</v>
      </c>
      <c r="K85" s="7">
        <v>96.1</v>
      </c>
      <c r="L85" s="7">
        <v>96.4</v>
      </c>
      <c r="M85" s="7">
        <v>96</v>
      </c>
      <c r="N85" s="7">
        <v>95.3</v>
      </c>
      <c r="O85" s="7">
        <v>96.6</v>
      </c>
      <c r="P85" s="7">
        <v>91</v>
      </c>
      <c r="Q85" s="7">
        <v>96.1</v>
      </c>
      <c r="R85" s="7">
        <v>96</v>
      </c>
      <c r="S85" s="7">
        <v>93.2</v>
      </c>
      <c r="T85" s="7">
        <v>95.4</v>
      </c>
      <c r="U85" s="7">
        <v>95.3</v>
      </c>
      <c r="V85" s="7">
        <v>96.6</v>
      </c>
      <c r="W85" s="7">
        <v>96.5</v>
      </c>
      <c r="X85" s="7">
        <v>95.5</v>
      </c>
      <c r="Y85" s="7">
        <v>94.9</v>
      </c>
      <c r="Z85" s="7">
        <v>96.3</v>
      </c>
      <c r="AA85" s="7">
        <v>95.4</v>
      </c>
    </row>
    <row r="86" spans="2:27" s="5" customFormat="1" x14ac:dyDescent="0.2">
      <c r="B86" s="190" t="s">
        <v>59</v>
      </c>
      <c r="C86" s="15" t="s">
        <v>2</v>
      </c>
      <c r="D86" s="39">
        <v>206735</v>
      </c>
      <c r="E86" s="39">
        <v>16608</v>
      </c>
      <c r="F86" s="39">
        <v>454</v>
      </c>
      <c r="G86" s="6">
        <v>26</v>
      </c>
      <c r="H86" s="6">
        <v>30</v>
      </c>
      <c r="I86" s="6">
        <v>17</v>
      </c>
      <c r="J86" s="6">
        <v>16</v>
      </c>
      <c r="K86" s="6">
        <v>16</v>
      </c>
      <c r="L86" s="6">
        <v>21</v>
      </c>
      <c r="M86" s="6">
        <v>19</v>
      </c>
      <c r="N86" s="6">
        <v>27</v>
      </c>
      <c r="O86" s="6">
        <v>28</v>
      </c>
      <c r="P86" s="6">
        <v>19</v>
      </c>
      <c r="Q86" s="6">
        <v>29</v>
      </c>
      <c r="R86" s="6">
        <v>24</v>
      </c>
      <c r="S86" s="6">
        <v>14</v>
      </c>
      <c r="T86" s="6">
        <v>28</v>
      </c>
      <c r="U86" s="6">
        <v>17</v>
      </c>
      <c r="V86" s="6">
        <v>28</v>
      </c>
      <c r="W86" s="6">
        <v>21</v>
      </c>
      <c r="X86" s="6">
        <v>14</v>
      </c>
      <c r="Y86" s="6">
        <v>21</v>
      </c>
      <c r="Z86" s="6">
        <v>20</v>
      </c>
      <c r="AA86" s="6">
        <v>19</v>
      </c>
    </row>
    <row r="87" spans="2:27" s="5" customFormat="1" x14ac:dyDescent="0.2">
      <c r="B87" s="191"/>
      <c r="C87" s="15" t="s">
        <v>3</v>
      </c>
      <c r="D87" s="39">
        <v>0.4</v>
      </c>
      <c r="E87" s="39">
        <v>0.3</v>
      </c>
      <c r="F87" s="39">
        <v>0.2</v>
      </c>
      <c r="G87" s="7">
        <v>0.2</v>
      </c>
      <c r="H87" s="7">
        <v>0.3</v>
      </c>
      <c r="I87" s="7">
        <v>0.2</v>
      </c>
      <c r="J87" s="7">
        <v>0.1</v>
      </c>
      <c r="K87" s="7">
        <v>0.1</v>
      </c>
      <c r="L87" s="7">
        <v>0.2</v>
      </c>
      <c r="M87" s="7">
        <v>0.2</v>
      </c>
      <c r="N87" s="7">
        <v>0.3</v>
      </c>
      <c r="O87" s="7">
        <v>0.2</v>
      </c>
      <c r="P87" s="7">
        <v>0.2</v>
      </c>
      <c r="Q87" s="7">
        <v>0.3</v>
      </c>
      <c r="R87" s="7">
        <v>0.2</v>
      </c>
      <c r="S87" s="7">
        <v>0.1</v>
      </c>
      <c r="T87" s="7">
        <v>0.2</v>
      </c>
      <c r="U87" s="7">
        <v>0.2</v>
      </c>
      <c r="V87" s="7">
        <v>0.3</v>
      </c>
      <c r="W87" s="7">
        <v>0.2</v>
      </c>
      <c r="X87" s="7">
        <v>0.1</v>
      </c>
      <c r="Y87" s="7">
        <v>0.2</v>
      </c>
      <c r="Z87" s="7">
        <v>0.2</v>
      </c>
      <c r="AA87" s="7">
        <v>0.2</v>
      </c>
    </row>
    <row r="88" spans="2:27" s="5" customFormat="1" x14ac:dyDescent="0.2">
      <c r="B88" s="190" t="s">
        <v>60</v>
      </c>
      <c r="C88" s="15" t="s">
        <v>2</v>
      </c>
      <c r="D88" s="39">
        <v>708872</v>
      </c>
      <c r="E88" s="39">
        <v>68856</v>
      </c>
      <c r="F88" s="39">
        <v>1894</v>
      </c>
      <c r="G88" s="6">
        <v>84</v>
      </c>
      <c r="H88" s="6">
        <v>102</v>
      </c>
      <c r="I88" s="6">
        <v>87</v>
      </c>
      <c r="J88" s="6">
        <v>77</v>
      </c>
      <c r="K88" s="6">
        <v>87</v>
      </c>
      <c r="L88" s="6">
        <v>78</v>
      </c>
      <c r="M88" s="6">
        <v>111</v>
      </c>
      <c r="N88" s="6">
        <v>74</v>
      </c>
      <c r="O88" s="6">
        <v>80</v>
      </c>
      <c r="P88" s="6">
        <v>82</v>
      </c>
      <c r="Q88" s="6">
        <v>93</v>
      </c>
      <c r="R88" s="6">
        <v>99</v>
      </c>
      <c r="S88" s="6">
        <v>73</v>
      </c>
      <c r="T88" s="6">
        <v>114</v>
      </c>
      <c r="U88" s="6">
        <v>144</v>
      </c>
      <c r="V88" s="6">
        <v>80</v>
      </c>
      <c r="W88" s="6">
        <v>89</v>
      </c>
      <c r="X88" s="6">
        <v>108</v>
      </c>
      <c r="Y88" s="6">
        <v>96</v>
      </c>
      <c r="Z88" s="6">
        <v>71</v>
      </c>
      <c r="AA88" s="6">
        <v>65</v>
      </c>
    </row>
    <row r="89" spans="2:27" s="5" customFormat="1" x14ac:dyDescent="0.2">
      <c r="B89" s="191"/>
      <c r="C89" s="15" t="s">
        <v>3</v>
      </c>
      <c r="D89" s="39">
        <v>1.3</v>
      </c>
      <c r="E89" s="39">
        <v>1.3</v>
      </c>
      <c r="F89" s="39">
        <v>0.8</v>
      </c>
      <c r="G89" s="7">
        <v>0.8</v>
      </c>
      <c r="H89" s="7">
        <v>0.9</v>
      </c>
      <c r="I89" s="7">
        <v>0.8</v>
      </c>
      <c r="J89" s="7">
        <v>0.7</v>
      </c>
      <c r="K89" s="7">
        <v>0.8</v>
      </c>
      <c r="L89" s="7">
        <v>0.7</v>
      </c>
      <c r="M89" s="7">
        <v>0.9</v>
      </c>
      <c r="N89" s="7">
        <v>0.8</v>
      </c>
      <c r="O89" s="7">
        <v>0.7</v>
      </c>
      <c r="P89" s="7">
        <v>0.8</v>
      </c>
      <c r="Q89" s="7">
        <v>0.9</v>
      </c>
      <c r="R89" s="7">
        <v>0.8</v>
      </c>
      <c r="S89" s="7">
        <v>0.7</v>
      </c>
      <c r="T89" s="7">
        <v>1</v>
      </c>
      <c r="U89" s="7">
        <v>1.3</v>
      </c>
      <c r="V89" s="7">
        <v>0.7</v>
      </c>
      <c r="W89" s="7">
        <v>0.8</v>
      </c>
      <c r="X89" s="7">
        <v>1.1000000000000001</v>
      </c>
      <c r="Y89" s="7">
        <v>0.8</v>
      </c>
      <c r="Z89" s="7">
        <v>0.6</v>
      </c>
      <c r="AA89" s="7">
        <v>0.7</v>
      </c>
    </row>
    <row r="90" spans="2:27" s="5" customFormat="1" x14ac:dyDescent="0.2">
      <c r="B90" s="190" t="s">
        <v>61</v>
      </c>
      <c r="C90" s="15" t="s">
        <v>2</v>
      </c>
      <c r="D90" s="39">
        <v>506619</v>
      </c>
      <c r="E90" s="39">
        <v>26255</v>
      </c>
      <c r="F90" s="39">
        <v>843</v>
      </c>
      <c r="G90" s="6">
        <v>44</v>
      </c>
      <c r="H90" s="6">
        <v>34</v>
      </c>
      <c r="I90" s="6">
        <v>39</v>
      </c>
      <c r="J90" s="6">
        <v>38</v>
      </c>
      <c r="K90" s="6">
        <v>36</v>
      </c>
      <c r="L90" s="6">
        <v>41</v>
      </c>
      <c r="M90" s="6">
        <v>74</v>
      </c>
      <c r="N90" s="6">
        <v>35</v>
      </c>
      <c r="O90" s="6">
        <v>24</v>
      </c>
      <c r="P90" s="6">
        <v>26</v>
      </c>
      <c r="Q90" s="6">
        <v>34</v>
      </c>
      <c r="R90" s="6">
        <v>46</v>
      </c>
      <c r="S90" s="6">
        <v>35</v>
      </c>
      <c r="T90" s="6">
        <v>69</v>
      </c>
      <c r="U90" s="6">
        <v>76</v>
      </c>
      <c r="V90" s="6">
        <v>31</v>
      </c>
      <c r="W90" s="6">
        <v>48</v>
      </c>
      <c r="X90" s="6">
        <v>27</v>
      </c>
      <c r="Y90" s="6">
        <v>26</v>
      </c>
      <c r="Z90" s="6">
        <v>26</v>
      </c>
      <c r="AA90" s="6">
        <v>34</v>
      </c>
    </row>
    <row r="91" spans="2:27" s="5" customFormat="1" x14ac:dyDescent="0.2">
      <c r="B91" s="191"/>
      <c r="C91" s="15" t="s">
        <v>3</v>
      </c>
      <c r="D91" s="39">
        <v>1</v>
      </c>
      <c r="E91" s="39">
        <v>0.5</v>
      </c>
      <c r="F91" s="39">
        <v>0.4</v>
      </c>
      <c r="G91" s="7">
        <v>0.4</v>
      </c>
      <c r="H91" s="7">
        <v>0.3</v>
      </c>
      <c r="I91" s="7">
        <v>0.4</v>
      </c>
      <c r="J91" s="7">
        <v>0.4</v>
      </c>
      <c r="K91" s="7">
        <v>0.3</v>
      </c>
      <c r="L91" s="7">
        <v>0.4</v>
      </c>
      <c r="M91" s="7">
        <v>0.6</v>
      </c>
      <c r="N91" s="7">
        <v>0.4</v>
      </c>
      <c r="O91" s="7">
        <v>0.2</v>
      </c>
      <c r="P91" s="7">
        <v>0.2</v>
      </c>
      <c r="Q91" s="7">
        <v>0.3</v>
      </c>
      <c r="R91" s="7">
        <v>0.3</v>
      </c>
      <c r="S91" s="7">
        <v>0.3</v>
      </c>
      <c r="T91" s="7">
        <v>0.6</v>
      </c>
      <c r="U91" s="7">
        <v>0.7</v>
      </c>
      <c r="V91" s="7">
        <v>0.3</v>
      </c>
      <c r="W91" s="7">
        <v>0.4</v>
      </c>
      <c r="X91" s="7">
        <v>0.3</v>
      </c>
      <c r="Y91" s="7">
        <v>0.2</v>
      </c>
      <c r="Z91" s="7">
        <v>0.2</v>
      </c>
      <c r="AA91" s="7">
        <v>0.4</v>
      </c>
    </row>
    <row r="92" spans="2:27" s="5" customFormat="1" x14ac:dyDescent="0.2">
      <c r="B92" s="190" t="s">
        <v>62</v>
      </c>
      <c r="C92" s="15" t="s">
        <v>2</v>
      </c>
      <c r="D92" s="39">
        <v>6499</v>
      </c>
      <c r="E92" s="39">
        <v>431</v>
      </c>
      <c r="F92" s="39">
        <v>3</v>
      </c>
      <c r="G92" s="6">
        <v>0</v>
      </c>
      <c r="H92" s="6">
        <v>0</v>
      </c>
      <c r="I92" s="6">
        <v>0</v>
      </c>
      <c r="J92" s="6">
        <v>0</v>
      </c>
      <c r="K92" s="6">
        <v>0</v>
      </c>
      <c r="L92" s="6">
        <v>0</v>
      </c>
      <c r="M92" s="6">
        <v>0</v>
      </c>
      <c r="N92" s="6">
        <v>0</v>
      </c>
      <c r="O92" s="6">
        <v>0</v>
      </c>
      <c r="P92" s="6">
        <v>0</v>
      </c>
      <c r="Q92" s="6">
        <v>0</v>
      </c>
      <c r="R92" s="6">
        <v>0</v>
      </c>
      <c r="S92" s="6">
        <v>1</v>
      </c>
      <c r="T92" s="6">
        <v>0</v>
      </c>
      <c r="U92" s="6">
        <v>0</v>
      </c>
      <c r="V92" s="6">
        <v>0</v>
      </c>
      <c r="W92" s="6">
        <v>0</v>
      </c>
      <c r="X92" s="6">
        <v>0</v>
      </c>
      <c r="Y92" s="6">
        <v>1</v>
      </c>
      <c r="Z92" s="6">
        <v>1</v>
      </c>
      <c r="AA92" s="6">
        <v>0</v>
      </c>
    </row>
    <row r="93" spans="2:27" s="5" customFormat="1" x14ac:dyDescent="0.2">
      <c r="B93" s="191"/>
      <c r="C93" s="15" t="s">
        <v>3</v>
      </c>
      <c r="D93" s="39">
        <v>0</v>
      </c>
      <c r="E93" s="39">
        <v>0</v>
      </c>
      <c r="F93" s="39">
        <v>0</v>
      </c>
      <c r="G93" s="7">
        <v>0</v>
      </c>
      <c r="H93" s="7">
        <v>0</v>
      </c>
      <c r="I93" s="7">
        <v>0</v>
      </c>
      <c r="J93" s="7">
        <v>0</v>
      </c>
      <c r="K93" s="7">
        <v>0</v>
      </c>
      <c r="L93" s="7">
        <v>0</v>
      </c>
      <c r="M93" s="7">
        <v>0</v>
      </c>
      <c r="N93" s="7">
        <v>0</v>
      </c>
      <c r="O93" s="7">
        <v>0</v>
      </c>
      <c r="P93" s="7">
        <v>0</v>
      </c>
      <c r="Q93" s="7">
        <v>0</v>
      </c>
      <c r="R93" s="7">
        <v>0</v>
      </c>
      <c r="S93" s="7">
        <v>0</v>
      </c>
      <c r="T93" s="7">
        <v>0</v>
      </c>
      <c r="U93" s="7">
        <v>0</v>
      </c>
      <c r="V93" s="7">
        <v>0</v>
      </c>
      <c r="W93" s="7">
        <v>0</v>
      </c>
      <c r="X93" s="7">
        <v>0</v>
      </c>
      <c r="Y93" s="7">
        <v>0</v>
      </c>
      <c r="Z93" s="7">
        <v>0</v>
      </c>
      <c r="AA93" s="7">
        <v>0</v>
      </c>
    </row>
    <row r="94" spans="2:27" s="5" customFormat="1" x14ac:dyDescent="0.2">
      <c r="B94" s="190" t="s">
        <v>63</v>
      </c>
      <c r="C94" s="15" t="s">
        <v>2</v>
      </c>
      <c r="D94" s="39">
        <v>395182</v>
      </c>
      <c r="E94" s="39">
        <v>19986</v>
      </c>
      <c r="F94" s="39">
        <v>478</v>
      </c>
      <c r="G94" s="6">
        <v>27</v>
      </c>
      <c r="H94" s="6">
        <v>20</v>
      </c>
      <c r="I94" s="6">
        <v>13</v>
      </c>
      <c r="J94" s="6">
        <v>23</v>
      </c>
      <c r="K94" s="6">
        <v>18</v>
      </c>
      <c r="L94" s="6">
        <v>15</v>
      </c>
      <c r="M94" s="6">
        <v>11</v>
      </c>
      <c r="N94" s="6">
        <v>24</v>
      </c>
      <c r="O94" s="6">
        <v>14</v>
      </c>
      <c r="P94" s="6">
        <v>32</v>
      </c>
      <c r="Q94" s="6">
        <v>17</v>
      </c>
      <c r="R94" s="6">
        <v>27</v>
      </c>
      <c r="S94" s="6">
        <v>21</v>
      </c>
      <c r="T94" s="6">
        <v>42</v>
      </c>
      <c r="U94" s="6">
        <v>37</v>
      </c>
      <c r="V94" s="6">
        <v>22</v>
      </c>
      <c r="W94" s="6">
        <v>10</v>
      </c>
      <c r="X94" s="6">
        <v>28</v>
      </c>
      <c r="Y94" s="6">
        <v>30</v>
      </c>
      <c r="Z94" s="6">
        <v>27</v>
      </c>
      <c r="AA94" s="6">
        <v>20</v>
      </c>
    </row>
    <row r="95" spans="2:27" s="5" customFormat="1" x14ac:dyDescent="0.2">
      <c r="B95" s="191"/>
      <c r="C95" s="15" t="s">
        <v>3</v>
      </c>
      <c r="D95" s="39">
        <v>0.7</v>
      </c>
      <c r="E95" s="39">
        <v>0.4</v>
      </c>
      <c r="F95" s="39">
        <v>0.2</v>
      </c>
      <c r="G95" s="7">
        <v>0.2</v>
      </c>
      <c r="H95" s="7">
        <v>0.2</v>
      </c>
      <c r="I95" s="7">
        <v>0.1</v>
      </c>
      <c r="J95" s="7">
        <v>0.2</v>
      </c>
      <c r="K95" s="7">
        <v>0.2</v>
      </c>
      <c r="L95" s="7">
        <v>0.1</v>
      </c>
      <c r="M95" s="7">
        <v>0.1</v>
      </c>
      <c r="N95" s="7">
        <v>0.2</v>
      </c>
      <c r="O95" s="7">
        <v>0.1</v>
      </c>
      <c r="P95" s="7">
        <v>0.3</v>
      </c>
      <c r="Q95" s="7">
        <v>0.2</v>
      </c>
      <c r="R95" s="7">
        <v>0.2</v>
      </c>
      <c r="S95" s="7">
        <v>0.2</v>
      </c>
      <c r="T95" s="7">
        <v>0.4</v>
      </c>
      <c r="U95" s="7">
        <v>0.3</v>
      </c>
      <c r="V95" s="7">
        <v>0.2</v>
      </c>
      <c r="W95" s="7">
        <v>0.1</v>
      </c>
      <c r="X95" s="7">
        <v>0.3</v>
      </c>
      <c r="Y95" s="7">
        <v>0.3</v>
      </c>
      <c r="Z95" s="7">
        <v>0.2</v>
      </c>
      <c r="AA95" s="7">
        <v>0.2</v>
      </c>
    </row>
    <row r="96" spans="2:27" s="5" customFormat="1" x14ac:dyDescent="0.2">
      <c r="B96" s="190" t="s">
        <v>64</v>
      </c>
      <c r="C96" s="15" t="s">
        <v>2</v>
      </c>
      <c r="D96" s="39">
        <v>1980259</v>
      </c>
      <c r="E96" s="39">
        <v>130647</v>
      </c>
      <c r="F96" s="39">
        <v>3498</v>
      </c>
      <c r="G96" s="6">
        <v>465</v>
      </c>
      <c r="H96" s="6">
        <v>133</v>
      </c>
      <c r="I96" s="6">
        <v>180</v>
      </c>
      <c r="J96" s="6">
        <v>149</v>
      </c>
      <c r="K96" s="6">
        <v>102</v>
      </c>
      <c r="L96" s="6">
        <v>120</v>
      </c>
      <c r="M96" s="6">
        <v>135</v>
      </c>
      <c r="N96" s="6">
        <v>126</v>
      </c>
      <c r="O96" s="6">
        <v>122</v>
      </c>
      <c r="P96" s="6">
        <v>418</v>
      </c>
      <c r="Q96" s="6">
        <v>112</v>
      </c>
      <c r="R96" s="6">
        <v>200</v>
      </c>
      <c r="S96" s="6">
        <v>221</v>
      </c>
      <c r="T96" s="6">
        <v>117</v>
      </c>
      <c r="U96" s="6">
        <v>109</v>
      </c>
      <c r="V96" s="6">
        <v>104</v>
      </c>
      <c r="W96" s="6">
        <v>98</v>
      </c>
      <c r="X96" s="6">
        <v>142</v>
      </c>
      <c r="Y96" s="6">
        <v>178</v>
      </c>
      <c r="Z96" s="6">
        <v>159</v>
      </c>
      <c r="AA96" s="6">
        <v>108</v>
      </c>
    </row>
    <row r="97" spans="1:27" s="5" customFormat="1" x14ac:dyDescent="0.2">
      <c r="B97" s="191"/>
      <c r="C97" s="15" t="s">
        <v>3</v>
      </c>
      <c r="D97" s="39">
        <v>3.7</v>
      </c>
      <c r="E97" s="39">
        <v>2.5</v>
      </c>
      <c r="F97" s="39">
        <v>1.5</v>
      </c>
      <c r="G97" s="7">
        <v>4.2</v>
      </c>
      <c r="H97" s="7">
        <v>1.2</v>
      </c>
      <c r="I97" s="7">
        <v>1.7</v>
      </c>
      <c r="J97" s="7">
        <v>1.4</v>
      </c>
      <c r="K97" s="7">
        <v>1</v>
      </c>
      <c r="L97" s="7">
        <v>1.1000000000000001</v>
      </c>
      <c r="M97" s="7">
        <v>1.1000000000000001</v>
      </c>
      <c r="N97" s="7">
        <v>1.3</v>
      </c>
      <c r="O97" s="7">
        <v>1</v>
      </c>
      <c r="P97" s="7">
        <v>3.9</v>
      </c>
      <c r="Q97" s="7">
        <v>1</v>
      </c>
      <c r="R97" s="7">
        <v>1.5</v>
      </c>
      <c r="S97" s="7">
        <v>2</v>
      </c>
      <c r="T97" s="7">
        <v>1</v>
      </c>
      <c r="U97" s="7">
        <v>1</v>
      </c>
      <c r="V97" s="7">
        <v>0.9</v>
      </c>
      <c r="W97" s="7">
        <v>0.9</v>
      </c>
      <c r="X97" s="7">
        <v>1.4</v>
      </c>
      <c r="Y97" s="7">
        <v>1.5</v>
      </c>
      <c r="Z97" s="7">
        <v>1.4</v>
      </c>
      <c r="AA97" s="7">
        <v>1.1000000000000001</v>
      </c>
    </row>
    <row r="98" spans="1:27" s="5" customFormat="1" x14ac:dyDescent="0.2">
      <c r="B98" s="190" t="s">
        <v>65</v>
      </c>
      <c r="C98" s="15" t="s">
        <v>2</v>
      </c>
      <c r="D98" s="39">
        <v>894908</v>
      </c>
      <c r="E98" s="39">
        <v>46878</v>
      </c>
      <c r="F98" s="39">
        <v>1119</v>
      </c>
      <c r="G98" s="6">
        <v>68</v>
      </c>
      <c r="H98" s="6">
        <v>47</v>
      </c>
      <c r="I98" s="6">
        <v>46</v>
      </c>
      <c r="J98" s="6">
        <v>55</v>
      </c>
      <c r="K98" s="6">
        <v>37</v>
      </c>
      <c r="L98" s="6">
        <v>62</v>
      </c>
      <c r="M98" s="6">
        <v>39</v>
      </c>
      <c r="N98" s="6">
        <v>55</v>
      </c>
      <c r="O98" s="6">
        <v>58</v>
      </c>
      <c r="P98" s="6">
        <v>57</v>
      </c>
      <c r="Q98" s="6">
        <v>45</v>
      </c>
      <c r="R98" s="6">
        <v>55</v>
      </c>
      <c r="S98" s="6">
        <v>56</v>
      </c>
      <c r="T98" s="6">
        <v>61</v>
      </c>
      <c r="U98" s="6">
        <v>57</v>
      </c>
      <c r="V98" s="6">
        <v>42</v>
      </c>
      <c r="W98" s="6">
        <v>55</v>
      </c>
      <c r="X98" s="6">
        <v>75</v>
      </c>
      <c r="Y98" s="6">
        <v>54</v>
      </c>
      <c r="Z98" s="6">
        <v>45</v>
      </c>
      <c r="AA98" s="6">
        <v>50</v>
      </c>
    </row>
    <row r="99" spans="1:27" s="5" customFormat="1" x14ac:dyDescent="0.2">
      <c r="B99" s="191"/>
      <c r="C99" s="15" t="s">
        <v>3</v>
      </c>
      <c r="D99" s="39">
        <v>1.7</v>
      </c>
      <c r="E99" s="39">
        <v>0.9</v>
      </c>
      <c r="F99" s="39">
        <v>0.5</v>
      </c>
      <c r="G99" s="7">
        <v>0.6</v>
      </c>
      <c r="H99" s="7">
        <v>0.4</v>
      </c>
      <c r="I99" s="7">
        <v>0.4</v>
      </c>
      <c r="J99" s="7">
        <v>0.5</v>
      </c>
      <c r="K99" s="7">
        <v>0.3</v>
      </c>
      <c r="L99" s="7">
        <v>0.6</v>
      </c>
      <c r="M99" s="7">
        <v>0.3</v>
      </c>
      <c r="N99" s="7">
        <v>0.6</v>
      </c>
      <c r="O99" s="7">
        <v>0.5</v>
      </c>
      <c r="P99" s="7">
        <v>0.5</v>
      </c>
      <c r="Q99" s="7">
        <v>0.4</v>
      </c>
      <c r="R99" s="7">
        <v>0.4</v>
      </c>
      <c r="S99" s="7">
        <v>0.5</v>
      </c>
      <c r="T99" s="7">
        <v>0.5</v>
      </c>
      <c r="U99" s="7">
        <v>0.5</v>
      </c>
      <c r="V99" s="7">
        <v>0.4</v>
      </c>
      <c r="W99" s="7">
        <v>0.5</v>
      </c>
      <c r="X99" s="7">
        <v>0.7</v>
      </c>
      <c r="Y99" s="7">
        <v>0.5</v>
      </c>
      <c r="Z99" s="7">
        <v>0.4</v>
      </c>
      <c r="AA99" s="7">
        <v>0.5</v>
      </c>
    </row>
    <row r="100" spans="1:27" s="5" customFormat="1" x14ac:dyDescent="0.2">
      <c r="B100" s="190" t="s">
        <v>66</v>
      </c>
      <c r="C100" s="15" t="s">
        <v>2</v>
      </c>
      <c r="D100" s="39">
        <v>1085351</v>
      </c>
      <c r="E100" s="39">
        <v>83769</v>
      </c>
      <c r="F100" s="39">
        <v>2379</v>
      </c>
      <c r="G100" s="6">
        <v>397</v>
      </c>
      <c r="H100" s="6">
        <v>86</v>
      </c>
      <c r="I100" s="6">
        <v>134</v>
      </c>
      <c r="J100" s="6">
        <v>94</v>
      </c>
      <c r="K100" s="6">
        <v>65</v>
      </c>
      <c r="L100" s="6">
        <v>58</v>
      </c>
      <c r="M100" s="6">
        <v>96</v>
      </c>
      <c r="N100" s="6">
        <v>71</v>
      </c>
      <c r="O100" s="6">
        <v>64</v>
      </c>
      <c r="P100" s="6">
        <v>361</v>
      </c>
      <c r="Q100" s="6">
        <v>67</v>
      </c>
      <c r="R100" s="6">
        <v>145</v>
      </c>
      <c r="S100" s="6">
        <v>165</v>
      </c>
      <c r="T100" s="6">
        <v>56</v>
      </c>
      <c r="U100" s="6">
        <v>52</v>
      </c>
      <c r="V100" s="6">
        <v>62</v>
      </c>
      <c r="W100" s="6">
        <v>43</v>
      </c>
      <c r="X100" s="6">
        <v>67</v>
      </c>
      <c r="Y100" s="6">
        <v>124</v>
      </c>
      <c r="Z100" s="6">
        <v>114</v>
      </c>
      <c r="AA100" s="6">
        <v>58</v>
      </c>
    </row>
    <row r="101" spans="1:27" s="5" customFormat="1" x14ac:dyDescent="0.2">
      <c r="B101" s="191"/>
      <c r="C101" s="15" t="s">
        <v>3</v>
      </c>
      <c r="D101" s="39">
        <v>2</v>
      </c>
      <c r="E101" s="39">
        <v>1.6</v>
      </c>
      <c r="F101" s="39">
        <v>1</v>
      </c>
      <c r="G101" s="7">
        <v>3.6</v>
      </c>
      <c r="H101" s="7">
        <v>0.8</v>
      </c>
      <c r="I101" s="7">
        <v>1.3</v>
      </c>
      <c r="J101" s="7">
        <v>0.9</v>
      </c>
      <c r="K101" s="7">
        <v>0.6</v>
      </c>
      <c r="L101" s="7">
        <v>0.6</v>
      </c>
      <c r="M101" s="7">
        <v>0.8</v>
      </c>
      <c r="N101" s="7">
        <v>0.7</v>
      </c>
      <c r="O101" s="7">
        <v>0.5</v>
      </c>
      <c r="P101" s="7">
        <v>3.4</v>
      </c>
      <c r="Q101" s="7">
        <v>0.6</v>
      </c>
      <c r="R101" s="7">
        <v>1.1000000000000001</v>
      </c>
      <c r="S101" s="7">
        <v>1.5</v>
      </c>
      <c r="T101" s="7">
        <v>0.5</v>
      </c>
      <c r="U101" s="7">
        <v>0.5</v>
      </c>
      <c r="V101" s="7">
        <v>0.6</v>
      </c>
      <c r="W101" s="7">
        <v>0.4</v>
      </c>
      <c r="X101" s="7">
        <v>0.7</v>
      </c>
      <c r="Y101" s="7">
        <v>1.1000000000000001</v>
      </c>
      <c r="Z101" s="7">
        <v>1</v>
      </c>
      <c r="AA101" s="7">
        <v>0.6</v>
      </c>
    </row>
    <row r="102" spans="1:27" s="5" customFormat="1" x14ac:dyDescent="0.2">
      <c r="B102" s="190" t="s">
        <v>67</v>
      </c>
      <c r="C102" s="15" t="s">
        <v>2</v>
      </c>
      <c r="D102" s="39">
        <v>4961698</v>
      </c>
      <c r="E102" s="39">
        <v>314058</v>
      </c>
      <c r="F102" s="39">
        <v>3827</v>
      </c>
      <c r="G102" s="6">
        <v>400</v>
      </c>
      <c r="H102" s="6">
        <v>150</v>
      </c>
      <c r="I102" s="6">
        <v>146</v>
      </c>
      <c r="J102" s="6">
        <v>187</v>
      </c>
      <c r="K102" s="6">
        <v>155</v>
      </c>
      <c r="L102" s="6">
        <v>100</v>
      </c>
      <c r="M102" s="6">
        <v>125</v>
      </c>
      <c r="N102" s="6">
        <v>175</v>
      </c>
      <c r="O102" s="6">
        <v>135</v>
      </c>
      <c r="P102" s="6">
        <v>388</v>
      </c>
      <c r="Q102" s="6">
        <v>140</v>
      </c>
      <c r="R102" s="6">
        <v>138</v>
      </c>
      <c r="S102" s="6">
        <v>365</v>
      </c>
      <c r="T102" s="6">
        <v>163</v>
      </c>
      <c r="U102" s="6">
        <v>144</v>
      </c>
      <c r="V102" s="6">
        <v>107</v>
      </c>
      <c r="W102" s="6">
        <v>105</v>
      </c>
      <c r="X102" s="6">
        <v>146</v>
      </c>
      <c r="Y102" s="6">
        <v>239</v>
      </c>
      <c r="Z102" s="6">
        <v>115</v>
      </c>
      <c r="AA102" s="6">
        <v>204</v>
      </c>
    </row>
    <row r="103" spans="1:27" s="5" customFormat="1" x14ac:dyDescent="0.2">
      <c r="B103" s="191"/>
      <c r="C103" s="15" t="s">
        <v>3</v>
      </c>
      <c r="D103" s="39">
        <v>9.4</v>
      </c>
      <c r="E103" s="39">
        <v>5.9</v>
      </c>
      <c r="F103" s="39">
        <v>1.7</v>
      </c>
      <c r="G103" s="7">
        <v>3.6</v>
      </c>
      <c r="H103" s="7">
        <v>1.4</v>
      </c>
      <c r="I103" s="7">
        <v>1.4</v>
      </c>
      <c r="J103" s="7">
        <v>1.8</v>
      </c>
      <c r="K103" s="7">
        <v>1.5</v>
      </c>
      <c r="L103" s="7">
        <v>1</v>
      </c>
      <c r="M103" s="7">
        <v>1.1000000000000001</v>
      </c>
      <c r="N103" s="7">
        <v>1.8</v>
      </c>
      <c r="O103" s="7">
        <v>1.1000000000000001</v>
      </c>
      <c r="P103" s="7">
        <v>3.6</v>
      </c>
      <c r="Q103" s="7">
        <v>1.3</v>
      </c>
      <c r="R103" s="7">
        <v>1</v>
      </c>
      <c r="S103" s="7">
        <v>3.4</v>
      </c>
      <c r="T103" s="7">
        <v>1.4</v>
      </c>
      <c r="U103" s="7">
        <v>1.3</v>
      </c>
      <c r="V103" s="7">
        <v>1</v>
      </c>
      <c r="W103" s="7">
        <v>1</v>
      </c>
      <c r="X103" s="7">
        <v>1.4</v>
      </c>
      <c r="Y103" s="7">
        <v>2.1</v>
      </c>
      <c r="Z103" s="7">
        <v>1</v>
      </c>
      <c r="AA103" s="7">
        <v>2.1</v>
      </c>
    </row>
    <row r="104" spans="1:27" s="5" customFormat="1" x14ac:dyDescent="0.2">
      <c r="A104" s="5" t="s">
        <v>253</v>
      </c>
      <c r="B104" s="190" t="s">
        <v>242</v>
      </c>
      <c r="C104" s="15" t="s">
        <v>2</v>
      </c>
      <c r="D104" s="39">
        <v>53012456</v>
      </c>
      <c r="E104" s="39">
        <v>5283733</v>
      </c>
      <c r="F104" s="39">
        <v>231221</v>
      </c>
      <c r="G104" s="6">
        <v>11115</v>
      </c>
      <c r="H104" s="6">
        <v>10977</v>
      </c>
      <c r="I104" s="6">
        <v>10685</v>
      </c>
      <c r="J104" s="6">
        <v>10676</v>
      </c>
      <c r="K104" s="6">
        <v>10669</v>
      </c>
      <c r="L104" s="6">
        <v>10498</v>
      </c>
      <c r="M104" s="6">
        <v>11889</v>
      </c>
      <c r="N104" s="6">
        <v>9777</v>
      </c>
      <c r="O104" s="6">
        <v>11852</v>
      </c>
      <c r="P104" s="6">
        <v>10680</v>
      </c>
      <c r="Q104" s="6">
        <v>10785</v>
      </c>
      <c r="R104" s="6">
        <v>13189</v>
      </c>
      <c r="S104" s="6">
        <v>10811</v>
      </c>
      <c r="T104" s="6">
        <v>11587</v>
      </c>
      <c r="U104" s="6">
        <v>11322</v>
      </c>
      <c r="V104" s="6">
        <v>11062</v>
      </c>
      <c r="W104" s="6">
        <v>10728</v>
      </c>
      <c r="X104" s="6">
        <v>10250</v>
      </c>
      <c r="Y104" s="6">
        <v>11510</v>
      </c>
      <c r="Z104" s="6">
        <v>11477</v>
      </c>
      <c r="AA104" s="6">
        <v>9682</v>
      </c>
    </row>
    <row r="105" spans="1:27" s="5" customFormat="1" x14ac:dyDescent="0.2">
      <c r="B105" s="191"/>
      <c r="C105" s="15" t="s">
        <v>3</v>
      </c>
      <c r="D105" s="39">
        <v>100</v>
      </c>
      <c r="E105" s="39">
        <v>100</v>
      </c>
      <c r="F105" s="39">
        <v>100</v>
      </c>
      <c r="G105" s="7">
        <v>100</v>
      </c>
      <c r="H105" s="7">
        <v>100</v>
      </c>
      <c r="I105" s="7">
        <v>100</v>
      </c>
      <c r="J105" s="7">
        <v>100</v>
      </c>
      <c r="K105" s="7">
        <v>100</v>
      </c>
      <c r="L105" s="7">
        <v>100</v>
      </c>
      <c r="M105" s="7">
        <v>100</v>
      </c>
      <c r="N105" s="7">
        <v>100</v>
      </c>
      <c r="O105" s="7">
        <v>100</v>
      </c>
      <c r="P105" s="7">
        <v>100</v>
      </c>
      <c r="Q105" s="7">
        <v>100</v>
      </c>
      <c r="R105" s="7">
        <v>100</v>
      </c>
      <c r="S105" s="7">
        <v>100</v>
      </c>
      <c r="T105" s="7">
        <v>100</v>
      </c>
      <c r="U105" s="7">
        <v>100</v>
      </c>
      <c r="V105" s="7">
        <v>100</v>
      </c>
      <c r="W105" s="7">
        <v>100</v>
      </c>
      <c r="X105" s="7">
        <v>100</v>
      </c>
      <c r="Y105" s="7">
        <v>100</v>
      </c>
      <c r="Z105" s="7">
        <v>100</v>
      </c>
      <c r="AA105" s="7">
        <v>100</v>
      </c>
    </row>
    <row r="106" spans="1:27" s="5" customFormat="1" x14ac:dyDescent="0.2">
      <c r="B106" s="190" t="s">
        <v>243</v>
      </c>
      <c r="C106" s="15" t="s">
        <v>2</v>
      </c>
      <c r="D106" s="39">
        <v>36094120</v>
      </c>
      <c r="E106" s="39">
        <v>3556887</v>
      </c>
      <c r="F106" s="39">
        <v>160677</v>
      </c>
      <c r="G106" s="6">
        <v>7320</v>
      </c>
      <c r="H106" s="6">
        <v>7739</v>
      </c>
      <c r="I106" s="6">
        <v>7433</v>
      </c>
      <c r="J106" s="6">
        <v>7430</v>
      </c>
      <c r="K106" s="6">
        <v>7728</v>
      </c>
      <c r="L106" s="6">
        <v>7303</v>
      </c>
      <c r="M106" s="6">
        <v>8084</v>
      </c>
      <c r="N106" s="6">
        <v>7361</v>
      </c>
      <c r="O106" s="6">
        <v>8300</v>
      </c>
      <c r="P106" s="6">
        <v>6997</v>
      </c>
      <c r="Q106" s="6">
        <v>7625</v>
      </c>
      <c r="R106" s="6">
        <v>9179</v>
      </c>
      <c r="S106" s="6">
        <v>7380</v>
      </c>
      <c r="T106" s="6">
        <v>8317</v>
      </c>
      <c r="U106" s="6">
        <v>7664</v>
      </c>
      <c r="V106" s="6">
        <v>7810</v>
      </c>
      <c r="W106" s="6">
        <v>7790</v>
      </c>
      <c r="X106" s="6">
        <v>6883</v>
      </c>
      <c r="Y106" s="6">
        <v>7835</v>
      </c>
      <c r="Z106" s="6">
        <v>7813</v>
      </c>
      <c r="AA106" s="6">
        <v>6686</v>
      </c>
    </row>
    <row r="107" spans="1:27" s="5" customFormat="1" x14ac:dyDescent="0.2">
      <c r="B107" s="191"/>
      <c r="C107" s="15" t="s">
        <v>3</v>
      </c>
      <c r="D107" s="39">
        <v>68.099999999999994</v>
      </c>
      <c r="E107" s="39">
        <v>67.3</v>
      </c>
      <c r="F107" s="39">
        <v>69.5</v>
      </c>
      <c r="G107" s="7">
        <v>65.900000000000006</v>
      </c>
      <c r="H107" s="7">
        <v>70.5</v>
      </c>
      <c r="I107" s="7">
        <v>69.599999999999994</v>
      </c>
      <c r="J107" s="7">
        <v>69.599999999999994</v>
      </c>
      <c r="K107" s="7">
        <v>72.400000000000006</v>
      </c>
      <c r="L107" s="7">
        <v>69.599999999999994</v>
      </c>
      <c r="M107" s="7">
        <v>68</v>
      </c>
      <c r="N107" s="7">
        <v>75.3</v>
      </c>
      <c r="O107" s="7">
        <v>70</v>
      </c>
      <c r="P107" s="7">
        <v>65.5</v>
      </c>
      <c r="Q107" s="7">
        <v>70.7</v>
      </c>
      <c r="R107" s="7">
        <v>69.599999999999994</v>
      </c>
      <c r="S107" s="7">
        <v>68.3</v>
      </c>
      <c r="T107" s="7">
        <v>71.8</v>
      </c>
      <c r="U107" s="7">
        <v>67.7</v>
      </c>
      <c r="V107" s="7">
        <v>70.599999999999994</v>
      </c>
      <c r="W107" s="7">
        <v>72.599999999999994</v>
      </c>
      <c r="X107" s="7">
        <v>67.2</v>
      </c>
      <c r="Y107" s="7">
        <v>68.099999999999994</v>
      </c>
      <c r="Z107" s="7">
        <v>68.099999999999994</v>
      </c>
      <c r="AA107" s="7">
        <v>69.099999999999994</v>
      </c>
    </row>
    <row r="108" spans="1:27" s="5" customFormat="1" x14ac:dyDescent="0.2">
      <c r="B108" s="190" t="s">
        <v>244</v>
      </c>
      <c r="C108" s="15" t="s">
        <v>2</v>
      </c>
      <c r="D108" s="39">
        <v>31479876</v>
      </c>
      <c r="E108" s="39">
        <v>3143819</v>
      </c>
      <c r="F108" s="39">
        <v>158287</v>
      </c>
      <c r="G108" s="6">
        <v>7129</v>
      </c>
      <c r="H108" s="6">
        <v>7655</v>
      </c>
      <c r="I108" s="6">
        <v>7354</v>
      </c>
      <c r="J108" s="6">
        <v>7316</v>
      </c>
      <c r="K108" s="6">
        <v>7634</v>
      </c>
      <c r="L108" s="6">
        <v>7236</v>
      </c>
      <c r="M108" s="6">
        <v>7999</v>
      </c>
      <c r="N108" s="6">
        <v>7210</v>
      </c>
      <c r="O108" s="6">
        <v>8210</v>
      </c>
      <c r="P108" s="6">
        <v>6747</v>
      </c>
      <c r="Q108" s="6">
        <v>7550</v>
      </c>
      <c r="R108" s="6">
        <v>9078</v>
      </c>
      <c r="S108" s="6">
        <v>7136</v>
      </c>
      <c r="T108" s="6">
        <v>8208</v>
      </c>
      <c r="U108" s="6">
        <v>7561</v>
      </c>
      <c r="V108" s="6">
        <v>7741</v>
      </c>
      <c r="W108" s="6">
        <v>7699</v>
      </c>
      <c r="X108" s="6">
        <v>6777</v>
      </c>
      <c r="Y108" s="6">
        <v>7736</v>
      </c>
      <c r="Z108" s="6">
        <v>7715</v>
      </c>
      <c r="AA108" s="6">
        <v>6596</v>
      </c>
    </row>
    <row r="109" spans="1:27" s="5" customFormat="1" x14ac:dyDescent="0.2">
      <c r="B109" s="191"/>
      <c r="C109" s="15" t="s">
        <v>3</v>
      </c>
      <c r="D109" s="39">
        <v>59.4</v>
      </c>
      <c r="E109" s="39">
        <v>59.5</v>
      </c>
      <c r="F109" s="39">
        <v>68.5</v>
      </c>
      <c r="G109" s="7">
        <v>64.099999999999994</v>
      </c>
      <c r="H109" s="7">
        <v>69.7</v>
      </c>
      <c r="I109" s="7">
        <v>68.8</v>
      </c>
      <c r="J109" s="7">
        <v>68.5</v>
      </c>
      <c r="K109" s="7">
        <v>71.599999999999994</v>
      </c>
      <c r="L109" s="7">
        <v>68.900000000000006</v>
      </c>
      <c r="M109" s="7">
        <v>67.3</v>
      </c>
      <c r="N109" s="7">
        <v>73.7</v>
      </c>
      <c r="O109" s="7">
        <v>69.3</v>
      </c>
      <c r="P109" s="7">
        <v>63.2</v>
      </c>
      <c r="Q109" s="7">
        <v>70</v>
      </c>
      <c r="R109" s="7">
        <v>68.8</v>
      </c>
      <c r="S109" s="7">
        <v>66</v>
      </c>
      <c r="T109" s="7">
        <v>70.8</v>
      </c>
      <c r="U109" s="7">
        <v>66.8</v>
      </c>
      <c r="V109" s="7">
        <v>70</v>
      </c>
      <c r="W109" s="7">
        <v>71.8</v>
      </c>
      <c r="X109" s="7">
        <v>66.099999999999994</v>
      </c>
      <c r="Y109" s="7">
        <v>67.2</v>
      </c>
      <c r="Z109" s="7">
        <v>67.2</v>
      </c>
      <c r="AA109" s="7">
        <v>68.099999999999994</v>
      </c>
    </row>
    <row r="110" spans="1:27" s="5" customFormat="1" x14ac:dyDescent="0.2">
      <c r="B110" s="190" t="s">
        <v>245</v>
      </c>
      <c r="C110" s="15" t="s">
        <v>2</v>
      </c>
      <c r="D110" s="39">
        <v>238626</v>
      </c>
      <c r="E110" s="39">
        <v>14319</v>
      </c>
      <c r="F110" s="39">
        <v>344</v>
      </c>
      <c r="G110" s="6">
        <v>23</v>
      </c>
      <c r="H110" s="6">
        <v>20</v>
      </c>
      <c r="I110" s="6">
        <v>12</v>
      </c>
      <c r="J110" s="6">
        <v>17</v>
      </c>
      <c r="K110" s="6">
        <v>14</v>
      </c>
      <c r="L110" s="6">
        <v>9</v>
      </c>
      <c r="M110" s="6">
        <v>8</v>
      </c>
      <c r="N110" s="6">
        <v>16</v>
      </c>
      <c r="O110" s="6">
        <v>16</v>
      </c>
      <c r="P110" s="6">
        <v>21</v>
      </c>
      <c r="Q110" s="6">
        <v>16</v>
      </c>
      <c r="R110" s="6">
        <v>4</v>
      </c>
      <c r="S110" s="6">
        <v>24</v>
      </c>
      <c r="T110" s="6">
        <v>22</v>
      </c>
      <c r="U110" s="6">
        <v>27</v>
      </c>
      <c r="V110" s="6">
        <v>5</v>
      </c>
      <c r="W110" s="6">
        <v>10</v>
      </c>
      <c r="X110" s="6">
        <v>20</v>
      </c>
      <c r="Y110" s="6">
        <v>20</v>
      </c>
      <c r="Z110" s="6">
        <v>14</v>
      </c>
      <c r="AA110" s="6">
        <v>26</v>
      </c>
    </row>
    <row r="111" spans="1:27" s="5" customFormat="1" x14ac:dyDescent="0.2">
      <c r="B111" s="191"/>
      <c r="C111" s="15" t="s">
        <v>3</v>
      </c>
      <c r="D111" s="39">
        <v>0.5</v>
      </c>
      <c r="E111" s="39">
        <v>0.3</v>
      </c>
      <c r="F111" s="39">
        <v>0.1</v>
      </c>
      <c r="G111" s="7">
        <v>0.2</v>
      </c>
      <c r="H111" s="7">
        <v>0.2</v>
      </c>
      <c r="I111" s="7">
        <v>0.1</v>
      </c>
      <c r="J111" s="7">
        <v>0.2</v>
      </c>
      <c r="K111" s="7">
        <v>0.1</v>
      </c>
      <c r="L111" s="7">
        <v>0.1</v>
      </c>
      <c r="M111" s="7">
        <v>0.1</v>
      </c>
      <c r="N111" s="7">
        <v>0.2</v>
      </c>
      <c r="O111" s="7">
        <v>0.1</v>
      </c>
      <c r="P111" s="7">
        <v>0.2</v>
      </c>
      <c r="Q111" s="7">
        <v>0.1</v>
      </c>
      <c r="R111" s="7">
        <v>0</v>
      </c>
      <c r="S111" s="7">
        <v>0.2</v>
      </c>
      <c r="T111" s="7">
        <v>0.2</v>
      </c>
      <c r="U111" s="7">
        <v>0.2</v>
      </c>
      <c r="V111" s="7">
        <v>0</v>
      </c>
      <c r="W111" s="7">
        <v>0.1</v>
      </c>
      <c r="X111" s="7">
        <v>0.2</v>
      </c>
      <c r="Y111" s="7">
        <v>0.2</v>
      </c>
      <c r="Z111" s="7">
        <v>0.1</v>
      </c>
      <c r="AA111" s="7">
        <v>0.3</v>
      </c>
    </row>
    <row r="112" spans="1:27" s="5" customFormat="1" x14ac:dyDescent="0.2">
      <c r="B112" s="190" t="s">
        <v>246</v>
      </c>
      <c r="C112" s="15" t="s">
        <v>2</v>
      </c>
      <c r="D112" s="39">
        <v>806199</v>
      </c>
      <c r="E112" s="39">
        <v>24074</v>
      </c>
      <c r="F112" s="39">
        <v>232</v>
      </c>
      <c r="G112" s="6">
        <v>12</v>
      </c>
      <c r="H112" s="6">
        <v>5</v>
      </c>
      <c r="I112" s="6">
        <v>11</v>
      </c>
      <c r="J112" s="6">
        <v>3</v>
      </c>
      <c r="K112" s="6">
        <v>13</v>
      </c>
      <c r="L112" s="6">
        <v>14</v>
      </c>
      <c r="M112" s="6">
        <v>1</v>
      </c>
      <c r="N112" s="6">
        <v>20</v>
      </c>
      <c r="O112" s="6">
        <v>3</v>
      </c>
      <c r="P112" s="6">
        <v>51</v>
      </c>
      <c r="Q112" s="6">
        <v>3</v>
      </c>
      <c r="R112" s="6">
        <v>8</v>
      </c>
      <c r="S112" s="6">
        <v>21</v>
      </c>
      <c r="T112" s="6">
        <v>3</v>
      </c>
      <c r="U112" s="6">
        <v>1</v>
      </c>
      <c r="V112" s="6">
        <v>6</v>
      </c>
      <c r="W112" s="6">
        <v>5</v>
      </c>
      <c r="X112" s="6">
        <v>4</v>
      </c>
      <c r="Y112" s="6">
        <v>19</v>
      </c>
      <c r="Z112" s="6">
        <v>14</v>
      </c>
      <c r="AA112" s="6">
        <v>15</v>
      </c>
    </row>
    <row r="113" spans="1:27" s="5" customFormat="1" x14ac:dyDescent="0.2">
      <c r="B113" s="191"/>
      <c r="C113" s="15" t="s">
        <v>3</v>
      </c>
      <c r="D113" s="39">
        <v>1.5</v>
      </c>
      <c r="E113" s="39">
        <v>0.5</v>
      </c>
      <c r="F113" s="39">
        <v>0.1</v>
      </c>
      <c r="G113" s="7">
        <v>0.1</v>
      </c>
      <c r="H113" s="7">
        <v>0</v>
      </c>
      <c r="I113" s="7">
        <v>0.1</v>
      </c>
      <c r="J113" s="7">
        <v>0</v>
      </c>
      <c r="K113" s="7">
        <v>0.1</v>
      </c>
      <c r="L113" s="7">
        <v>0.1</v>
      </c>
      <c r="M113" s="7">
        <v>0</v>
      </c>
      <c r="N113" s="7">
        <v>0.2</v>
      </c>
      <c r="O113" s="7">
        <v>0</v>
      </c>
      <c r="P113" s="7">
        <v>0.5</v>
      </c>
      <c r="Q113" s="7">
        <v>0</v>
      </c>
      <c r="R113" s="7">
        <v>0.1</v>
      </c>
      <c r="S113" s="7">
        <v>0.2</v>
      </c>
      <c r="T113" s="7">
        <v>0</v>
      </c>
      <c r="U113" s="7">
        <v>0</v>
      </c>
      <c r="V113" s="7">
        <v>0.1</v>
      </c>
      <c r="W113" s="7">
        <v>0</v>
      </c>
      <c r="X113" s="7">
        <v>0</v>
      </c>
      <c r="Y113" s="7">
        <v>0.2</v>
      </c>
      <c r="Z113" s="7">
        <v>0.1</v>
      </c>
      <c r="AA113" s="7">
        <v>0.2</v>
      </c>
    </row>
    <row r="114" spans="1:27" s="5" customFormat="1" x14ac:dyDescent="0.2">
      <c r="B114" s="190" t="s">
        <v>247</v>
      </c>
      <c r="C114" s="15" t="s">
        <v>2</v>
      </c>
      <c r="D114" s="39">
        <v>261282</v>
      </c>
      <c r="E114" s="39">
        <v>9929</v>
      </c>
      <c r="F114" s="39">
        <v>49</v>
      </c>
      <c r="G114" s="6">
        <v>4</v>
      </c>
      <c r="H114" s="6">
        <v>2</v>
      </c>
      <c r="I114" s="6">
        <v>2</v>
      </c>
      <c r="J114" s="6">
        <v>3</v>
      </c>
      <c r="K114" s="6">
        <v>1</v>
      </c>
      <c r="L114" s="6">
        <v>1</v>
      </c>
      <c r="M114" s="6">
        <v>3</v>
      </c>
      <c r="N114" s="6">
        <v>1</v>
      </c>
      <c r="O114" s="6">
        <v>1</v>
      </c>
      <c r="P114" s="6">
        <v>0</v>
      </c>
      <c r="Q114" s="6">
        <v>2</v>
      </c>
      <c r="R114" s="6">
        <v>9</v>
      </c>
      <c r="S114" s="6">
        <v>1</v>
      </c>
      <c r="T114" s="6">
        <v>5</v>
      </c>
      <c r="U114" s="6">
        <v>3</v>
      </c>
      <c r="V114" s="6">
        <v>2</v>
      </c>
      <c r="W114" s="6">
        <v>3</v>
      </c>
      <c r="X114" s="6">
        <v>0</v>
      </c>
      <c r="Y114" s="6">
        <v>5</v>
      </c>
      <c r="Z114" s="6">
        <v>1</v>
      </c>
      <c r="AA114" s="6">
        <v>0</v>
      </c>
    </row>
    <row r="115" spans="1:27" s="5" customFormat="1" x14ac:dyDescent="0.2">
      <c r="B115" s="191"/>
      <c r="C115" s="15" t="s">
        <v>3</v>
      </c>
      <c r="D115" s="39">
        <v>0.5</v>
      </c>
      <c r="E115" s="39">
        <v>0.2</v>
      </c>
      <c r="F115" s="39">
        <v>0</v>
      </c>
      <c r="G115" s="7">
        <v>0</v>
      </c>
      <c r="H115" s="7">
        <v>0</v>
      </c>
      <c r="I115" s="7">
        <v>0</v>
      </c>
      <c r="J115" s="7">
        <v>0</v>
      </c>
      <c r="K115" s="7">
        <v>0</v>
      </c>
      <c r="L115" s="7">
        <v>0</v>
      </c>
      <c r="M115" s="7">
        <v>0</v>
      </c>
      <c r="N115" s="7">
        <v>0</v>
      </c>
      <c r="O115" s="7">
        <v>0</v>
      </c>
      <c r="P115" s="7">
        <v>0</v>
      </c>
      <c r="Q115" s="7">
        <v>0</v>
      </c>
      <c r="R115" s="7">
        <v>0.1</v>
      </c>
      <c r="S115" s="7">
        <v>0</v>
      </c>
      <c r="T115" s="7">
        <v>0</v>
      </c>
      <c r="U115" s="7">
        <v>0</v>
      </c>
      <c r="V115" s="7">
        <v>0</v>
      </c>
      <c r="W115" s="7">
        <v>0</v>
      </c>
      <c r="X115" s="7">
        <v>0</v>
      </c>
      <c r="Y115" s="7">
        <v>0</v>
      </c>
      <c r="Z115" s="7">
        <v>0</v>
      </c>
      <c r="AA115" s="7">
        <v>0</v>
      </c>
    </row>
    <row r="116" spans="1:27" s="5" customFormat="1" x14ac:dyDescent="0.2">
      <c r="B116" s="190" t="s">
        <v>248</v>
      </c>
      <c r="C116" s="15" t="s">
        <v>2</v>
      </c>
      <c r="D116" s="39">
        <v>2660116</v>
      </c>
      <c r="E116" s="39">
        <v>326050</v>
      </c>
      <c r="F116" s="39">
        <v>945</v>
      </c>
      <c r="G116" s="6">
        <v>117</v>
      </c>
      <c r="H116" s="6">
        <v>21</v>
      </c>
      <c r="I116" s="6">
        <v>30</v>
      </c>
      <c r="J116" s="6">
        <v>49</v>
      </c>
      <c r="K116" s="6">
        <v>32</v>
      </c>
      <c r="L116" s="6">
        <v>12</v>
      </c>
      <c r="M116" s="6">
        <v>35</v>
      </c>
      <c r="N116" s="6">
        <v>75</v>
      </c>
      <c r="O116" s="6">
        <v>35</v>
      </c>
      <c r="P116" s="6">
        <v>129</v>
      </c>
      <c r="Q116" s="6">
        <v>30</v>
      </c>
      <c r="R116" s="6">
        <v>29</v>
      </c>
      <c r="S116" s="6">
        <v>128</v>
      </c>
      <c r="T116" s="6">
        <v>31</v>
      </c>
      <c r="U116" s="6">
        <v>8</v>
      </c>
      <c r="V116" s="6">
        <v>16</v>
      </c>
      <c r="W116" s="6">
        <v>34</v>
      </c>
      <c r="X116" s="6">
        <v>50</v>
      </c>
      <c r="Y116" s="6">
        <v>37</v>
      </c>
      <c r="Z116" s="6">
        <v>29</v>
      </c>
      <c r="AA116" s="6">
        <v>18</v>
      </c>
    </row>
    <row r="117" spans="1:27" s="5" customFormat="1" x14ac:dyDescent="0.2">
      <c r="B117" s="191"/>
      <c r="C117" s="15" t="s">
        <v>3</v>
      </c>
      <c r="D117" s="39">
        <v>5</v>
      </c>
      <c r="E117" s="39">
        <v>6.2</v>
      </c>
      <c r="F117" s="39">
        <v>0.4</v>
      </c>
      <c r="G117" s="7">
        <v>1.1000000000000001</v>
      </c>
      <c r="H117" s="7">
        <v>0.2</v>
      </c>
      <c r="I117" s="7">
        <v>0.3</v>
      </c>
      <c r="J117" s="7">
        <v>0.5</v>
      </c>
      <c r="K117" s="7">
        <v>0.3</v>
      </c>
      <c r="L117" s="7">
        <v>0.1</v>
      </c>
      <c r="M117" s="7">
        <v>0.3</v>
      </c>
      <c r="N117" s="7">
        <v>0.8</v>
      </c>
      <c r="O117" s="7">
        <v>0.3</v>
      </c>
      <c r="P117" s="7">
        <v>1.2</v>
      </c>
      <c r="Q117" s="7">
        <v>0.3</v>
      </c>
      <c r="R117" s="7">
        <v>0.2</v>
      </c>
      <c r="S117" s="7">
        <v>1.2</v>
      </c>
      <c r="T117" s="7">
        <v>0.3</v>
      </c>
      <c r="U117" s="7">
        <v>0.1</v>
      </c>
      <c r="V117" s="7">
        <v>0.1</v>
      </c>
      <c r="W117" s="7">
        <v>0.3</v>
      </c>
      <c r="X117" s="7">
        <v>0.5</v>
      </c>
      <c r="Y117" s="7">
        <v>0.3</v>
      </c>
      <c r="Z117" s="7">
        <v>0.3</v>
      </c>
      <c r="AA117" s="7">
        <v>0.2</v>
      </c>
    </row>
    <row r="118" spans="1:27" s="5" customFormat="1" x14ac:dyDescent="0.2">
      <c r="B118" s="190" t="s">
        <v>249</v>
      </c>
      <c r="C118" s="15" t="s">
        <v>2</v>
      </c>
      <c r="D118" s="39">
        <v>420196</v>
      </c>
      <c r="E118" s="39">
        <v>22179</v>
      </c>
      <c r="F118" s="39">
        <v>197</v>
      </c>
      <c r="G118" s="6">
        <v>6</v>
      </c>
      <c r="H118" s="6">
        <v>14</v>
      </c>
      <c r="I118" s="6">
        <v>1</v>
      </c>
      <c r="J118" s="6">
        <v>15</v>
      </c>
      <c r="K118" s="6">
        <v>5</v>
      </c>
      <c r="L118" s="6">
        <v>3</v>
      </c>
      <c r="M118" s="6">
        <v>10</v>
      </c>
      <c r="N118" s="6">
        <v>10</v>
      </c>
      <c r="O118" s="6">
        <v>14</v>
      </c>
      <c r="P118" s="6">
        <v>13</v>
      </c>
      <c r="Q118" s="6">
        <v>10</v>
      </c>
      <c r="R118" s="6">
        <v>10</v>
      </c>
      <c r="S118" s="6">
        <v>36</v>
      </c>
      <c r="T118" s="6">
        <v>2</v>
      </c>
      <c r="U118" s="6">
        <v>17</v>
      </c>
      <c r="V118" s="6">
        <v>1</v>
      </c>
      <c r="W118" s="6">
        <v>4</v>
      </c>
      <c r="X118" s="6">
        <v>20</v>
      </c>
      <c r="Y118" s="6">
        <v>3</v>
      </c>
      <c r="Z118" s="6">
        <v>2</v>
      </c>
      <c r="AA118" s="6">
        <v>1</v>
      </c>
    </row>
    <row r="119" spans="1:27" s="5" customFormat="1" x14ac:dyDescent="0.2">
      <c r="B119" s="191"/>
      <c r="C119" s="15" t="s">
        <v>3</v>
      </c>
      <c r="D119" s="39">
        <v>0.8</v>
      </c>
      <c r="E119" s="39">
        <v>0.4</v>
      </c>
      <c r="F119" s="39">
        <v>0.1</v>
      </c>
      <c r="G119" s="7">
        <v>0.1</v>
      </c>
      <c r="H119" s="7">
        <v>0.1</v>
      </c>
      <c r="I119" s="7">
        <v>0</v>
      </c>
      <c r="J119" s="7">
        <v>0.1</v>
      </c>
      <c r="K119" s="7">
        <v>0</v>
      </c>
      <c r="L119" s="7">
        <v>0</v>
      </c>
      <c r="M119" s="7">
        <v>0.1</v>
      </c>
      <c r="N119" s="7">
        <v>0.1</v>
      </c>
      <c r="O119" s="7">
        <v>0.1</v>
      </c>
      <c r="P119" s="7">
        <v>0.1</v>
      </c>
      <c r="Q119" s="7">
        <v>0.1</v>
      </c>
      <c r="R119" s="7">
        <v>0.1</v>
      </c>
      <c r="S119" s="7">
        <v>0.3</v>
      </c>
      <c r="T119" s="7">
        <v>0</v>
      </c>
      <c r="U119" s="7">
        <v>0.2</v>
      </c>
      <c r="V119" s="7">
        <v>0</v>
      </c>
      <c r="W119" s="7">
        <v>0</v>
      </c>
      <c r="X119" s="7">
        <v>0.2</v>
      </c>
      <c r="Y119" s="7">
        <v>0</v>
      </c>
      <c r="Z119" s="7">
        <v>0</v>
      </c>
      <c r="AA119" s="7">
        <v>0</v>
      </c>
    </row>
    <row r="120" spans="1:27" s="5" customFormat="1" x14ac:dyDescent="0.2">
      <c r="B120" s="190" t="s">
        <v>250</v>
      </c>
      <c r="C120" s="15" t="s">
        <v>2</v>
      </c>
      <c r="D120" s="39">
        <v>227825</v>
      </c>
      <c r="E120" s="39">
        <v>1617</v>
      </c>
      <c r="F120" s="39">
        <v>623</v>
      </c>
      <c r="G120" s="6">
        <v>29</v>
      </c>
      <c r="H120" s="6">
        <v>22</v>
      </c>
      <c r="I120" s="6">
        <v>23</v>
      </c>
      <c r="J120" s="6">
        <v>27</v>
      </c>
      <c r="K120" s="6">
        <v>29</v>
      </c>
      <c r="L120" s="6">
        <v>28</v>
      </c>
      <c r="M120" s="6">
        <v>28</v>
      </c>
      <c r="N120" s="6">
        <v>29</v>
      </c>
      <c r="O120" s="6">
        <v>21</v>
      </c>
      <c r="P120" s="6">
        <v>36</v>
      </c>
      <c r="Q120" s="6">
        <v>14</v>
      </c>
      <c r="R120" s="6">
        <v>41</v>
      </c>
      <c r="S120" s="6">
        <v>34</v>
      </c>
      <c r="T120" s="6">
        <v>46</v>
      </c>
      <c r="U120" s="6">
        <v>47</v>
      </c>
      <c r="V120" s="6">
        <v>39</v>
      </c>
      <c r="W120" s="6">
        <v>35</v>
      </c>
      <c r="X120" s="6">
        <v>12</v>
      </c>
      <c r="Y120" s="6">
        <v>15</v>
      </c>
      <c r="Z120" s="6">
        <v>38</v>
      </c>
      <c r="AA120" s="6">
        <v>30</v>
      </c>
    </row>
    <row r="121" spans="1:27" s="5" customFormat="1" x14ac:dyDescent="0.2">
      <c r="B121" s="191"/>
      <c r="C121" s="15" t="s">
        <v>3</v>
      </c>
      <c r="D121" s="39">
        <v>0.4</v>
      </c>
      <c r="E121" s="39">
        <v>0.3</v>
      </c>
      <c r="F121" s="39">
        <v>0.3</v>
      </c>
      <c r="G121" s="7">
        <v>0.3</v>
      </c>
      <c r="H121" s="7">
        <v>0.2</v>
      </c>
      <c r="I121" s="7">
        <v>0.2</v>
      </c>
      <c r="J121" s="7">
        <v>0.3</v>
      </c>
      <c r="K121" s="7">
        <v>0.3</v>
      </c>
      <c r="L121" s="7">
        <v>0.3</v>
      </c>
      <c r="M121" s="7">
        <v>0.2</v>
      </c>
      <c r="N121" s="7">
        <v>0.3</v>
      </c>
      <c r="O121" s="7">
        <v>0.2</v>
      </c>
      <c r="P121" s="7">
        <v>0.3</v>
      </c>
      <c r="Q121" s="7">
        <v>0.1</v>
      </c>
      <c r="R121" s="7">
        <v>0.3</v>
      </c>
      <c r="S121" s="7">
        <v>0.3</v>
      </c>
      <c r="T121" s="7">
        <v>0.4</v>
      </c>
      <c r="U121" s="7">
        <v>0.4</v>
      </c>
      <c r="V121" s="7">
        <v>0.4</v>
      </c>
      <c r="W121" s="7">
        <v>0.3</v>
      </c>
      <c r="X121" s="7">
        <v>0.1</v>
      </c>
      <c r="Y121" s="7">
        <v>0.1</v>
      </c>
      <c r="Z121" s="7">
        <v>0.3</v>
      </c>
      <c r="AA121" s="7">
        <v>0.3</v>
      </c>
    </row>
    <row r="122" spans="1:27" s="5" customFormat="1" x14ac:dyDescent="0.2">
      <c r="B122" s="190" t="s">
        <v>251</v>
      </c>
      <c r="C122" s="15" t="s">
        <v>2</v>
      </c>
      <c r="D122" s="39">
        <v>1314232</v>
      </c>
      <c r="E122" s="39">
        <v>1366219</v>
      </c>
      <c r="F122" s="39">
        <v>55536</v>
      </c>
      <c r="G122" s="6">
        <v>3036</v>
      </c>
      <c r="H122" s="6">
        <v>2555</v>
      </c>
      <c r="I122" s="6">
        <v>2572</v>
      </c>
      <c r="J122" s="6">
        <v>2539</v>
      </c>
      <c r="K122" s="6">
        <v>2270</v>
      </c>
      <c r="L122" s="6">
        <v>2512</v>
      </c>
      <c r="M122" s="6">
        <v>3041</v>
      </c>
      <c r="N122" s="6">
        <v>1821</v>
      </c>
      <c r="O122" s="6">
        <v>2885</v>
      </c>
      <c r="P122" s="6">
        <v>2982</v>
      </c>
      <c r="Q122" s="6">
        <v>2460</v>
      </c>
      <c r="R122" s="6">
        <v>3133</v>
      </c>
      <c r="S122" s="6">
        <v>2665</v>
      </c>
      <c r="T122" s="6">
        <v>2425</v>
      </c>
      <c r="U122" s="6">
        <v>2889</v>
      </c>
      <c r="V122" s="6">
        <v>2559</v>
      </c>
      <c r="W122" s="6">
        <v>2215</v>
      </c>
      <c r="X122" s="6">
        <v>2732</v>
      </c>
      <c r="Y122" s="6">
        <v>2914</v>
      </c>
      <c r="Z122" s="6">
        <v>2951</v>
      </c>
      <c r="AA122" s="6">
        <v>2380</v>
      </c>
    </row>
    <row r="123" spans="1:27" s="5" customFormat="1" x14ac:dyDescent="0.2">
      <c r="B123" s="191"/>
      <c r="C123" s="15" t="s">
        <v>3</v>
      </c>
      <c r="D123" s="39">
        <v>24.7</v>
      </c>
      <c r="E123" s="39">
        <v>25.9</v>
      </c>
      <c r="F123" s="39">
        <v>24</v>
      </c>
      <c r="G123" s="7">
        <v>27.3</v>
      </c>
      <c r="H123" s="7">
        <v>23.3</v>
      </c>
      <c r="I123" s="7">
        <v>24.1</v>
      </c>
      <c r="J123" s="7">
        <v>23.8</v>
      </c>
      <c r="K123" s="7">
        <v>21.3</v>
      </c>
      <c r="L123" s="7">
        <v>23.9</v>
      </c>
      <c r="M123" s="7">
        <v>25.6</v>
      </c>
      <c r="N123" s="7">
        <v>18.600000000000001</v>
      </c>
      <c r="O123" s="7">
        <v>24.3</v>
      </c>
      <c r="P123" s="7">
        <v>27.9</v>
      </c>
      <c r="Q123" s="7">
        <v>22.8</v>
      </c>
      <c r="R123" s="7">
        <v>23.8</v>
      </c>
      <c r="S123" s="7">
        <v>24.7</v>
      </c>
      <c r="T123" s="7">
        <v>20.9</v>
      </c>
      <c r="U123" s="7">
        <v>25.5</v>
      </c>
      <c r="V123" s="7">
        <v>23.1</v>
      </c>
      <c r="W123" s="7">
        <v>20.6</v>
      </c>
      <c r="X123" s="7">
        <v>26.7</v>
      </c>
      <c r="Y123" s="7">
        <v>25.3</v>
      </c>
      <c r="Z123" s="7">
        <v>25.7</v>
      </c>
      <c r="AA123" s="7">
        <v>24.6</v>
      </c>
    </row>
    <row r="124" spans="1:27" s="5" customFormat="1" x14ac:dyDescent="0.2">
      <c r="B124" s="190" t="s">
        <v>252</v>
      </c>
      <c r="C124" s="15" t="s">
        <v>2</v>
      </c>
      <c r="D124" s="39">
        <v>3804104</v>
      </c>
      <c r="E124" s="39">
        <v>360627</v>
      </c>
      <c r="F124" s="39">
        <v>15008</v>
      </c>
      <c r="G124" s="6">
        <v>759</v>
      </c>
      <c r="H124" s="6">
        <v>683</v>
      </c>
      <c r="I124" s="6">
        <v>680</v>
      </c>
      <c r="J124" s="6">
        <v>707</v>
      </c>
      <c r="K124" s="6">
        <v>671</v>
      </c>
      <c r="L124" s="6">
        <v>683</v>
      </c>
      <c r="M124" s="6">
        <v>764</v>
      </c>
      <c r="N124" s="6">
        <v>595</v>
      </c>
      <c r="O124" s="6">
        <v>667</v>
      </c>
      <c r="P124" s="6">
        <v>701</v>
      </c>
      <c r="Q124" s="6">
        <v>700</v>
      </c>
      <c r="R124" s="6">
        <v>877</v>
      </c>
      <c r="S124" s="6">
        <v>766</v>
      </c>
      <c r="T124" s="6">
        <v>845</v>
      </c>
      <c r="U124" s="6">
        <v>769</v>
      </c>
      <c r="V124" s="6">
        <v>693</v>
      </c>
      <c r="W124" s="6">
        <v>723</v>
      </c>
      <c r="X124" s="6">
        <v>635</v>
      </c>
      <c r="Y124" s="6">
        <v>761</v>
      </c>
      <c r="Z124" s="6">
        <v>713</v>
      </c>
      <c r="AA124" s="6">
        <v>616</v>
      </c>
    </row>
    <row r="125" spans="1:27" s="5" customFormat="1" x14ac:dyDescent="0.2">
      <c r="B125" s="191"/>
      <c r="C125" s="15" t="s">
        <v>3</v>
      </c>
      <c r="D125" s="39">
        <v>7.2</v>
      </c>
      <c r="E125" s="39">
        <v>6.8</v>
      </c>
      <c r="F125" s="39">
        <v>6.5</v>
      </c>
      <c r="G125" s="7">
        <v>6.8</v>
      </c>
      <c r="H125" s="7">
        <v>6.2</v>
      </c>
      <c r="I125" s="7">
        <v>6.4</v>
      </c>
      <c r="J125" s="7">
        <v>6.6</v>
      </c>
      <c r="K125" s="7">
        <v>6.3</v>
      </c>
      <c r="L125" s="7">
        <v>6.5</v>
      </c>
      <c r="M125" s="7">
        <v>6.4</v>
      </c>
      <c r="N125" s="7">
        <v>6.1</v>
      </c>
      <c r="O125" s="7">
        <v>5.6</v>
      </c>
      <c r="P125" s="7">
        <v>6.6</v>
      </c>
      <c r="Q125" s="7">
        <v>6.5</v>
      </c>
      <c r="R125" s="7">
        <v>6.6</v>
      </c>
      <c r="S125" s="7">
        <v>7.1</v>
      </c>
      <c r="T125" s="7">
        <v>7.3</v>
      </c>
      <c r="U125" s="7">
        <v>6.8</v>
      </c>
      <c r="V125" s="7">
        <v>6.3</v>
      </c>
      <c r="W125" s="7">
        <v>6.7</v>
      </c>
      <c r="X125" s="7">
        <v>6.2</v>
      </c>
      <c r="Y125" s="7">
        <v>6.6</v>
      </c>
      <c r="Z125" s="7">
        <v>6.2</v>
      </c>
      <c r="AA125" s="7">
        <v>6.4</v>
      </c>
    </row>
    <row r="126" spans="1:27" s="5" customFormat="1" x14ac:dyDescent="0.2">
      <c r="A126" s="5" t="s">
        <v>239</v>
      </c>
      <c r="B126" s="190" t="s">
        <v>56</v>
      </c>
      <c r="C126" s="15" t="s">
        <v>2</v>
      </c>
      <c r="D126" s="39">
        <v>53012456</v>
      </c>
      <c r="E126" s="39">
        <v>5283733</v>
      </c>
      <c r="F126" s="39">
        <v>231221</v>
      </c>
      <c r="G126" s="6">
        <v>11115</v>
      </c>
      <c r="H126" s="6">
        <v>10977</v>
      </c>
      <c r="I126" s="6">
        <v>10685</v>
      </c>
      <c r="J126" s="6">
        <v>10676</v>
      </c>
      <c r="K126" s="6">
        <v>10669</v>
      </c>
      <c r="L126" s="6">
        <v>10498</v>
      </c>
      <c r="M126" s="6">
        <v>11889</v>
      </c>
      <c r="N126" s="6">
        <v>9777</v>
      </c>
      <c r="O126" s="6">
        <v>11852</v>
      </c>
      <c r="P126" s="6">
        <v>10680</v>
      </c>
      <c r="Q126" s="6">
        <v>10785</v>
      </c>
      <c r="R126" s="6">
        <v>13189</v>
      </c>
      <c r="S126" s="6">
        <v>10811</v>
      </c>
      <c r="T126" s="6">
        <v>11587</v>
      </c>
      <c r="U126" s="6">
        <v>11322</v>
      </c>
      <c r="V126" s="6">
        <v>11062</v>
      </c>
      <c r="W126" s="6">
        <v>10728</v>
      </c>
      <c r="X126" s="6">
        <v>10250</v>
      </c>
      <c r="Y126" s="6">
        <v>11510</v>
      </c>
      <c r="Z126" s="6">
        <v>11477</v>
      </c>
      <c r="AA126" s="6">
        <v>9682</v>
      </c>
    </row>
    <row r="127" spans="1:27" s="5" customFormat="1" x14ac:dyDescent="0.2">
      <c r="B127" s="191"/>
      <c r="C127" s="15" t="s">
        <v>3</v>
      </c>
      <c r="D127" s="39">
        <v>100</v>
      </c>
      <c r="E127" s="39">
        <v>100</v>
      </c>
      <c r="F127" s="39">
        <v>100</v>
      </c>
      <c r="G127" s="7">
        <v>100</v>
      </c>
      <c r="H127" s="7">
        <v>100</v>
      </c>
      <c r="I127" s="7">
        <v>100</v>
      </c>
      <c r="J127" s="7">
        <v>100</v>
      </c>
      <c r="K127" s="7">
        <v>100</v>
      </c>
      <c r="L127" s="7">
        <v>100</v>
      </c>
      <c r="M127" s="7">
        <v>100</v>
      </c>
      <c r="N127" s="7">
        <v>100</v>
      </c>
      <c r="O127" s="7">
        <v>100</v>
      </c>
      <c r="P127" s="7">
        <v>100</v>
      </c>
      <c r="Q127" s="7">
        <v>100</v>
      </c>
      <c r="R127" s="7">
        <v>100</v>
      </c>
      <c r="S127" s="7">
        <v>100</v>
      </c>
      <c r="T127" s="7">
        <v>100</v>
      </c>
      <c r="U127" s="7">
        <v>100</v>
      </c>
      <c r="V127" s="7">
        <v>100</v>
      </c>
      <c r="W127" s="7">
        <v>100</v>
      </c>
      <c r="X127" s="7">
        <v>100</v>
      </c>
      <c r="Y127" s="7">
        <v>100</v>
      </c>
      <c r="Z127" s="7">
        <v>100</v>
      </c>
      <c r="AA127" s="7">
        <v>100</v>
      </c>
    </row>
    <row r="128" spans="1:27" s="5" customFormat="1" x14ac:dyDescent="0.2">
      <c r="B128" s="190" t="s">
        <v>214</v>
      </c>
      <c r="C128" s="15" t="s">
        <v>2</v>
      </c>
      <c r="D128" s="39">
        <v>8770532</v>
      </c>
      <c r="E128" s="39">
        <v>1025490</v>
      </c>
      <c r="F128" s="39">
        <v>54017</v>
      </c>
      <c r="G128" s="6">
        <v>2418</v>
      </c>
      <c r="H128" s="6">
        <v>2497</v>
      </c>
      <c r="I128" s="6">
        <v>2477</v>
      </c>
      <c r="J128" s="6">
        <v>1957</v>
      </c>
      <c r="K128" s="6">
        <v>1948</v>
      </c>
      <c r="L128" s="6">
        <v>3224</v>
      </c>
      <c r="M128" s="6">
        <v>3068</v>
      </c>
      <c r="N128" s="6">
        <v>1747</v>
      </c>
      <c r="O128" s="6">
        <v>3088</v>
      </c>
      <c r="P128" s="6">
        <v>2812</v>
      </c>
      <c r="Q128" s="6">
        <v>2908</v>
      </c>
      <c r="R128" s="6">
        <v>3282</v>
      </c>
      <c r="S128" s="6">
        <v>2046</v>
      </c>
      <c r="T128" s="6">
        <v>1681</v>
      </c>
      <c r="U128" s="6">
        <v>2022</v>
      </c>
      <c r="V128" s="6">
        <v>2621</v>
      </c>
      <c r="W128" s="6">
        <v>2500</v>
      </c>
      <c r="X128" s="6">
        <v>3337</v>
      </c>
      <c r="Y128" s="6">
        <v>3000</v>
      </c>
      <c r="Z128" s="6">
        <v>2940</v>
      </c>
      <c r="AA128" s="6">
        <v>2444</v>
      </c>
    </row>
    <row r="129" spans="2:27" s="5" customFormat="1" x14ac:dyDescent="0.2">
      <c r="B129" s="191"/>
      <c r="C129" s="15" t="s">
        <v>3</v>
      </c>
      <c r="D129" s="39">
        <v>16.5</v>
      </c>
      <c r="E129" s="39">
        <v>19.399999999999999</v>
      </c>
      <c r="F129" s="39">
        <v>23.4</v>
      </c>
      <c r="G129" s="7">
        <v>21.8</v>
      </c>
      <c r="H129" s="7">
        <v>22.7</v>
      </c>
      <c r="I129" s="7">
        <v>23.2</v>
      </c>
      <c r="J129" s="7">
        <v>18.3</v>
      </c>
      <c r="K129" s="7">
        <v>18.3</v>
      </c>
      <c r="L129" s="7">
        <v>30.7</v>
      </c>
      <c r="M129" s="7">
        <v>25.8</v>
      </c>
      <c r="N129" s="7">
        <v>17.899999999999999</v>
      </c>
      <c r="O129" s="7">
        <v>26.1</v>
      </c>
      <c r="P129" s="7">
        <v>26.3</v>
      </c>
      <c r="Q129" s="7">
        <v>27</v>
      </c>
      <c r="R129" s="7">
        <v>24.9</v>
      </c>
      <c r="S129" s="7">
        <v>18.899999999999999</v>
      </c>
      <c r="T129" s="7">
        <v>14.5</v>
      </c>
      <c r="U129" s="7">
        <v>17.899999999999999</v>
      </c>
      <c r="V129" s="7">
        <v>23.7</v>
      </c>
      <c r="W129" s="7">
        <v>23.3</v>
      </c>
      <c r="X129" s="7">
        <v>32.6</v>
      </c>
      <c r="Y129" s="7">
        <v>26.1</v>
      </c>
      <c r="Z129" s="7">
        <v>25.6</v>
      </c>
      <c r="AA129" s="7">
        <v>25.2</v>
      </c>
    </row>
    <row r="130" spans="2:27" s="5" customFormat="1" x14ac:dyDescent="0.2">
      <c r="B130" s="190" t="s">
        <v>215</v>
      </c>
      <c r="C130" s="15" t="s">
        <v>2</v>
      </c>
      <c r="D130" s="39">
        <v>44854575</v>
      </c>
      <c r="E130" s="39">
        <v>4290090</v>
      </c>
      <c r="F130" s="39">
        <v>177623</v>
      </c>
      <c r="G130" s="6">
        <v>8725</v>
      </c>
      <c r="H130" s="6">
        <v>8500</v>
      </c>
      <c r="I130" s="6">
        <v>8220</v>
      </c>
      <c r="J130" s="6">
        <v>8754</v>
      </c>
      <c r="K130" s="6">
        <v>8739</v>
      </c>
      <c r="L130" s="6">
        <v>7289</v>
      </c>
      <c r="M130" s="6">
        <v>8837</v>
      </c>
      <c r="N130" s="6">
        <v>8055</v>
      </c>
      <c r="O130" s="6">
        <v>8783</v>
      </c>
      <c r="P130" s="6">
        <v>7886</v>
      </c>
      <c r="Q130" s="6">
        <v>7893</v>
      </c>
      <c r="R130" s="6">
        <v>9923</v>
      </c>
      <c r="S130" s="6">
        <v>8796</v>
      </c>
      <c r="T130" s="6">
        <v>9956</v>
      </c>
      <c r="U130" s="6">
        <v>9323</v>
      </c>
      <c r="V130" s="6">
        <v>8451</v>
      </c>
      <c r="W130" s="6">
        <v>8233</v>
      </c>
      <c r="X130" s="6">
        <v>6919</v>
      </c>
      <c r="Y130" s="6">
        <v>8526</v>
      </c>
      <c r="Z130" s="6">
        <v>8555</v>
      </c>
      <c r="AA130" s="6">
        <v>7260</v>
      </c>
    </row>
    <row r="131" spans="2:27" s="5" customFormat="1" x14ac:dyDescent="0.2">
      <c r="B131" s="191"/>
      <c r="C131" s="15" t="s">
        <v>3</v>
      </c>
      <c r="D131" s="39">
        <v>84.6</v>
      </c>
      <c r="E131" s="39">
        <v>81.2</v>
      </c>
      <c r="F131" s="39">
        <v>76.8</v>
      </c>
      <c r="G131" s="7">
        <v>78.5</v>
      </c>
      <c r="H131" s="7">
        <v>77.400000000000006</v>
      </c>
      <c r="I131" s="7">
        <v>76.900000000000006</v>
      </c>
      <c r="J131" s="7">
        <v>82</v>
      </c>
      <c r="K131" s="7">
        <v>81.900000000000006</v>
      </c>
      <c r="L131" s="7">
        <v>69.400000000000006</v>
      </c>
      <c r="M131" s="7">
        <v>74.3</v>
      </c>
      <c r="N131" s="7">
        <v>82.4</v>
      </c>
      <c r="O131" s="7">
        <v>74.099999999999994</v>
      </c>
      <c r="P131" s="7">
        <v>73.8</v>
      </c>
      <c r="Q131" s="7">
        <v>73.2</v>
      </c>
      <c r="R131" s="7">
        <v>75.2</v>
      </c>
      <c r="S131" s="7">
        <v>81.400000000000006</v>
      </c>
      <c r="T131" s="7">
        <v>85.9</v>
      </c>
      <c r="U131" s="7">
        <v>82.3</v>
      </c>
      <c r="V131" s="7">
        <v>76.400000000000006</v>
      </c>
      <c r="W131" s="7">
        <v>76.7</v>
      </c>
      <c r="X131" s="7">
        <v>67.5</v>
      </c>
      <c r="Y131" s="7">
        <v>74.099999999999994</v>
      </c>
      <c r="Z131" s="7">
        <v>74.5</v>
      </c>
      <c r="AA131" s="7">
        <v>75</v>
      </c>
    </row>
    <row r="132" spans="2:27" s="5" customFormat="1" x14ac:dyDescent="0.2">
      <c r="B132" s="190" t="s">
        <v>57</v>
      </c>
      <c r="C132" s="15" t="s">
        <v>2</v>
      </c>
      <c r="D132" s="39">
        <v>40174490</v>
      </c>
      <c r="E132" s="39">
        <v>4021873</v>
      </c>
      <c r="F132" s="39">
        <v>173007</v>
      </c>
      <c r="G132" s="6">
        <v>8068</v>
      </c>
      <c r="H132" s="6">
        <v>8324</v>
      </c>
      <c r="I132" s="6">
        <v>8006</v>
      </c>
      <c r="J132" s="6">
        <v>8558</v>
      </c>
      <c r="K132" s="6">
        <v>8590</v>
      </c>
      <c r="L132" s="6">
        <v>7148</v>
      </c>
      <c r="M132" s="6">
        <v>8673</v>
      </c>
      <c r="N132" s="6">
        <v>7876</v>
      </c>
      <c r="O132" s="6">
        <v>8627</v>
      </c>
      <c r="P132" s="6">
        <v>7315</v>
      </c>
      <c r="Q132" s="6">
        <v>7744</v>
      </c>
      <c r="R132" s="6">
        <v>9705</v>
      </c>
      <c r="S132" s="6">
        <v>8459</v>
      </c>
      <c r="T132" s="6">
        <v>9780</v>
      </c>
      <c r="U132" s="6">
        <v>9178</v>
      </c>
      <c r="V132" s="6">
        <v>8346</v>
      </c>
      <c r="W132" s="6">
        <v>8157</v>
      </c>
      <c r="X132" s="6">
        <v>6784</v>
      </c>
      <c r="Y132" s="6">
        <v>8227</v>
      </c>
      <c r="Z132" s="6">
        <v>8359</v>
      </c>
      <c r="AA132" s="6">
        <v>7083</v>
      </c>
    </row>
    <row r="133" spans="2:27" s="5" customFormat="1" x14ac:dyDescent="0.2">
      <c r="B133" s="191"/>
      <c r="C133" s="15" t="s">
        <v>3</v>
      </c>
      <c r="D133" s="39">
        <v>75.8</v>
      </c>
      <c r="E133" s="39">
        <v>76.099999999999994</v>
      </c>
      <c r="F133" s="39">
        <v>74.8</v>
      </c>
      <c r="G133" s="7">
        <v>72.599999999999994</v>
      </c>
      <c r="H133" s="7">
        <v>75.8</v>
      </c>
      <c r="I133" s="7">
        <v>74.900000000000006</v>
      </c>
      <c r="J133" s="7">
        <v>80.2</v>
      </c>
      <c r="K133" s="7">
        <v>80.5</v>
      </c>
      <c r="L133" s="7">
        <v>68.099999999999994</v>
      </c>
      <c r="M133" s="7">
        <v>72.900000000000006</v>
      </c>
      <c r="N133" s="7">
        <v>80.599999999999994</v>
      </c>
      <c r="O133" s="7">
        <v>72.8</v>
      </c>
      <c r="P133" s="7">
        <v>68.5</v>
      </c>
      <c r="Q133" s="7">
        <v>71.8</v>
      </c>
      <c r="R133" s="7">
        <v>73.599999999999994</v>
      </c>
      <c r="S133" s="7">
        <v>78.2</v>
      </c>
      <c r="T133" s="7">
        <v>84.4</v>
      </c>
      <c r="U133" s="7">
        <v>81.099999999999994</v>
      </c>
      <c r="V133" s="7">
        <v>75.400000000000006</v>
      </c>
      <c r="W133" s="7">
        <v>76</v>
      </c>
      <c r="X133" s="7">
        <v>66.2</v>
      </c>
      <c r="Y133" s="7">
        <v>71.5</v>
      </c>
      <c r="Z133" s="7">
        <v>72.8</v>
      </c>
      <c r="AA133" s="7">
        <v>73.2</v>
      </c>
    </row>
    <row r="134" spans="2:27" s="5" customFormat="1" x14ac:dyDescent="0.2">
      <c r="B134" s="190" t="s">
        <v>216</v>
      </c>
      <c r="C134" s="15" t="s">
        <v>2</v>
      </c>
      <c r="D134" s="39">
        <v>398394</v>
      </c>
      <c r="E134" s="39">
        <v>17290</v>
      </c>
      <c r="F134" s="39">
        <v>358</v>
      </c>
      <c r="G134" s="6">
        <v>28</v>
      </c>
      <c r="H134" s="6">
        <v>11</v>
      </c>
      <c r="I134" s="6">
        <v>9</v>
      </c>
      <c r="J134" s="6">
        <v>17</v>
      </c>
      <c r="K134" s="6">
        <v>18</v>
      </c>
      <c r="L134" s="6">
        <v>12</v>
      </c>
      <c r="M134" s="6">
        <v>9</v>
      </c>
      <c r="N134" s="6">
        <v>13</v>
      </c>
      <c r="O134" s="6">
        <v>19</v>
      </c>
      <c r="P134" s="6">
        <v>29</v>
      </c>
      <c r="Q134" s="6">
        <v>14</v>
      </c>
      <c r="R134" s="6">
        <v>22</v>
      </c>
      <c r="S134" s="6">
        <v>17</v>
      </c>
      <c r="T134" s="6">
        <v>36</v>
      </c>
      <c r="U134" s="6">
        <v>19</v>
      </c>
      <c r="V134" s="6">
        <v>18</v>
      </c>
      <c r="W134" s="6">
        <v>5</v>
      </c>
      <c r="X134" s="6">
        <v>8</v>
      </c>
      <c r="Y134" s="6">
        <v>20</v>
      </c>
      <c r="Z134" s="6">
        <v>20</v>
      </c>
      <c r="AA134" s="6">
        <v>14</v>
      </c>
    </row>
    <row r="135" spans="2:27" s="5" customFormat="1" x14ac:dyDescent="0.2">
      <c r="B135" s="191"/>
      <c r="C135" s="15" t="s">
        <v>3</v>
      </c>
      <c r="D135" s="39">
        <v>0.8</v>
      </c>
      <c r="E135" s="39">
        <v>0.3</v>
      </c>
      <c r="F135" s="39">
        <v>0.2</v>
      </c>
      <c r="G135" s="7">
        <v>0.3</v>
      </c>
      <c r="H135" s="7">
        <v>0.1</v>
      </c>
      <c r="I135" s="7">
        <v>0.1</v>
      </c>
      <c r="J135" s="7">
        <v>0.2</v>
      </c>
      <c r="K135" s="7">
        <v>0.2</v>
      </c>
      <c r="L135" s="7">
        <v>0.1</v>
      </c>
      <c r="M135" s="7">
        <v>0.1</v>
      </c>
      <c r="N135" s="7">
        <v>0.1</v>
      </c>
      <c r="O135" s="7">
        <v>0.2</v>
      </c>
      <c r="P135" s="7">
        <v>0.3</v>
      </c>
      <c r="Q135" s="7">
        <v>0.1</v>
      </c>
      <c r="R135" s="7">
        <v>0.2</v>
      </c>
      <c r="S135" s="7">
        <v>0.2</v>
      </c>
      <c r="T135" s="7">
        <v>0.3</v>
      </c>
      <c r="U135" s="7">
        <v>0.2</v>
      </c>
      <c r="V135" s="7">
        <v>0.2</v>
      </c>
      <c r="W135" s="7">
        <v>0</v>
      </c>
      <c r="X135" s="7">
        <v>0.1</v>
      </c>
      <c r="Y135" s="7">
        <v>0.2</v>
      </c>
      <c r="Z135" s="7">
        <v>0.2</v>
      </c>
      <c r="AA135" s="7">
        <v>0.1</v>
      </c>
    </row>
    <row r="136" spans="2:27" s="5" customFormat="1" x14ac:dyDescent="0.2">
      <c r="B136" s="190" t="s">
        <v>217</v>
      </c>
      <c r="C136" s="15" t="s">
        <v>2</v>
      </c>
      <c r="D136" s="39">
        <v>1897747</v>
      </c>
      <c r="E136" s="39">
        <v>108001</v>
      </c>
      <c r="F136" s="39">
        <v>2609</v>
      </c>
      <c r="G136" s="6">
        <v>456</v>
      </c>
      <c r="H136" s="6">
        <v>83</v>
      </c>
      <c r="I136" s="6">
        <v>139</v>
      </c>
      <c r="J136" s="6">
        <v>92</v>
      </c>
      <c r="K136" s="6">
        <v>66</v>
      </c>
      <c r="L136" s="6">
        <v>73</v>
      </c>
      <c r="M136" s="6">
        <v>96</v>
      </c>
      <c r="N136" s="6">
        <v>83</v>
      </c>
      <c r="O136" s="6">
        <v>72</v>
      </c>
      <c r="P136" s="6">
        <v>388</v>
      </c>
      <c r="Q136" s="6">
        <v>68</v>
      </c>
      <c r="R136" s="6">
        <v>147</v>
      </c>
      <c r="S136" s="6">
        <v>176</v>
      </c>
      <c r="T136" s="6">
        <v>66</v>
      </c>
      <c r="U136" s="6">
        <v>64</v>
      </c>
      <c r="V136" s="6">
        <v>50</v>
      </c>
      <c r="W136" s="6">
        <v>47</v>
      </c>
      <c r="X136" s="6">
        <v>63</v>
      </c>
      <c r="Y136" s="6">
        <v>174</v>
      </c>
      <c r="Z136" s="6">
        <v>124</v>
      </c>
      <c r="AA136" s="6">
        <v>82</v>
      </c>
    </row>
    <row r="137" spans="2:27" s="5" customFormat="1" x14ac:dyDescent="0.2">
      <c r="B137" s="191"/>
      <c r="C137" s="15" t="s">
        <v>3</v>
      </c>
      <c r="D137" s="39">
        <v>3.6</v>
      </c>
      <c r="E137" s="39">
        <v>2</v>
      </c>
      <c r="F137" s="39">
        <v>1.1000000000000001</v>
      </c>
      <c r="G137" s="7">
        <v>4.0999999999999996</v>
      </c>
      <c r="H137" s="7">
        <v>0.8</v>
      </c>
      <c r="I137" s="7">
        <v>1.3</v>
      </c>
      <c r="J137" s="7">
        <v>0.9</v>
      </c>
      <c r="K137" s="7">
        <v>0.6</v>
      </c>
      <c r="L137" s="7">
        <v>0.7</v>
      </c>
      <c r="M137" s="7">
        <v>0.8</v>
      </c>
      <c r="N137" s="7">
        <v>0.8</v>
      </c>
      <c r="O137" s="7">
        <v>0.6</v>
      </c>
      <c r="P137" s="7">
        <v>3.6</v>
      </c>
      <c r="Q137" s="7">
        <v>0.6</v>
      </c>
      <c r="R137" s="7">
        <v>1.1000000000000001</v>
      </c>
      <c r="S137" s="7">
        <v>1.6</v>
      </c>
      <c r="T137" s="7">
        <v>0.6</v>
      </c>
      <c r="U137" s="7">
        <v>0.6</v>
      </c>
      <c r="V137" s="7">
        <v>0.5</v>
      </c>
      <c r="W137" s="7">
        <v>0.4</v>
      </c>
      <c r="X137" s="7">
        <v>0.6</v>
      </c>
      <c r="Y137" s="7">
        <v>1.5</v>
      </c>
      <c r="Z137" s="7">
        <v>1.1000000000000001</v>
      </c>
      <c r="AA137" s="7">
        <v>0.8</v>
      </c>
    </row>
    <row r="138" spans="2:27" s="5" customFormat="1" x14ac:dyDescent="0.2">
      <c r="B138" s="190" t="s">
        <v>218</v>
      </c>
      <c r="C138" s="15" t="s">
        <v>2</v>
      </c>
      <c r="D138" s="39">
        <v>146451</v>
      </c>
      <c r="E138" s="39">
        <v>5811</v>
      </c>
      <c r="F138" s="39">
        <v>153</v>
      </c>
      <c r="G138" s="6">
        <v>18</v>
      </c>
      <c r="H138" s="6">
        <v>5</v>
      </c>
      <c r="I138" s="6">
        <v>6</v>
      </c>
      <c r="J138" s="6">
        <v>5</v>
      </c>
      <c r="K138" s="6">
        <v>4</v>
      </c>
      <c r="L138" s="6">
        <v>2</v>
      </c>
      <c r="M138" s="6">
        <v>7</v>
      </c>
      <c r="N138" s="6">
        <v>5</v>
      </c>
      <c r="O138" s="6">
        <v>14</v>
      </c>
      <c r="P138" s="6">
        <v>13</v>
      </c>
      <c r="Q138" s="6">
        <v>6</v>
      </c>
      <c r="R138" s="6">
        <v>3</v>
      </c>
      <c r="S138" s="6">
        <v>10</v>
      </c>
      <c r="T138" s="6">
        <v>7</v>
      </c>
      <c r="U138" s="6">
        <v>3</v>
      </c>
      <c r="V138" s="6">
        <v>4</v>
      </c>
      <c r="W138" s="6">
        <v>4</v>
      </c>
      <c r="X138" s="6">
        <v>4</v>
      </c>
      <c r="Y138" s="6">
        <v>13</v>
      </c>
      <c r="Z138" s="6">
        <v>7</v>
      </c>
      <c r="AA138" s="6">
        <v>13</v>
      </c>
    </row>
    <row r="139" spans="2:27" s="5" customFormat="1" x14ac:dyDescent="0.2">
      <c r="B139" s="191"/>
      <c r="C139" s="15" t="s">
        <v>3</v>
      </c>
      <c r="D139" s="39">
        <v>0.3</v>
      </c>
      <c r="E139" s="39">
        <v>0.1</v>
      </c>
      <c r="F139" s="39">
        <v>0.1</v>
      </c>
      <c r="G139" s="7">
        <v>0.2</v>
      </c>
      <c r="H139" s="7">
        <v>0</v>
      </c>
      <c r="I139" s="7">
        <v>0.1</v>
      </c>
      <c r="J139" s="7">
        <v>0</v>
      </c>
      <c r="K139" s="7">
        <v>0</v>
      </c>
      <c r="L139" s="7">
        <v>0</v>
      </c>
      <c r="M139" s="7">
        <v>0.1</v>
      </c>
      <c r="N139" s="7">
        <v>0.1</v>
      </c>
      <c r="O139" s="7">
        <v>0.1</v>
      </c>
      <c r="P139" s="7">
        <v>0.1</v>
      </c>
      <c r="Q139" s="7">
        <v>0.1</v>
      </c>
      <c r="R139" s="7">
        <v>0</v>
      </c>
      <c r="S139" s="7">
        <v>0.1</v>
      </c>
      <c r="T139" s="7">
        <v>0.1</v>
      </c>
      <c r="U139" s="7">
        <v>0</v>
      </c>
      <c r="V139" s="7">
        <v>0</v>
      </c>
      <c r="W139" s="7">
        <v>0</v>
      </c>
      <c r="X139" s="7">
        <v>0</v>
      </c>
      <c r="Y139" s="7">
        <v>0.1</v>
      </c>
      <c r="Z139" s="7">
        <v>0.1</v>
      </c>
      <c r="AA139" s="7">
        <v>0.1</v>
      </c>
    </row>
    <row r="140" spans="2:27" s="5" customFormat="1" x14ac:dyDescent="0.2">
      <c r="B140" s="190" t="s">
        <v>219</v>
      </c>
      <c r="C140" s="15" t="s">
        <v>2</v>
      </c>
      <c r="D140" s="39">
        <v>511740</v>
      </c>
      <c r="E140" s="39">
        <v>27018</v>
      </c>
      <c r="F140" s="39">
        <v>530</v>
      </c>
      <c r="G140" s="6">
        <v>81</v>
      </c>
      <c r="H140" s="6">
        <v>36</v>
      </c>
      <c r="I140" s="6">
        <v>19</v>
      </c>
      <c r="J140" s="6">
        <v>18</v>
      </c>
      <c r="K140" s="6">
        <v>16</v>
      </c>
      <c r="L140" s="6">
        <v>18</v>
      </c>
      <c r="M140" s="6">
        <v>24</v>
      </c>
      <c r="N140" s="6">
        <v>8</v>
      </c>
      <c r="O140" s="6">
        <v>13</v>
      </c>
      <c r="P140" s="6">
        <v>64</v>
      </c>
      <c r="Q140" s="6">
        <v>27</v>
      </c>
      <c r="R140" s="6">
        <v>16</v>
      </c>
      <c r="S140" s="6">
        <v>36</v>
      </c>
      <c r="T140" s="6">
        <v>9</v>
      </c>
      <c r="U140" s="6">
        <v>9</v>
      </c>
      <c r="V140" s="6">
        <v>24</v>
      </c>
      <c r="W140" s="6">
        <v>8</v>
      </c>
      <c r="X140" s="6">
        <v>27</v>
      </c>
      <c r="Y140" s="6">
        <v>44</v>
      </c>
      <c r="Z140" s="6">
        <v>21</v>
      </c>
      <c r="AA140" s="6">
        <v>12</v>
      </c>
    </row>
    <row r="141" spans="2:27" s="5" customFormat="1" x14ac:dyDescent="0.2">
      <c r="B141" s="191"/>
      <c r="C141" s="15" t="s">
        <v>3</v>
      </c>
      <c r="D141" s="39">
        <v>1</v>
      </c>
      <c r="E141" s="39">
        <v>0.5</v>
      </c>
      <c r="F141" s="39">
        <v>0.2</v>
      </c>
      <c r="G141" s="7">
        <v>0.7</v>
      </c>
      <c r="H141" s="7">
        <v>0.3</v>
      </c>
      <c r="I141" s="7">
        <v>0.2</v>
      </c>
      <c r="J141" s="7">
        <v>0.2</v>
      </c>
      <c r="K141" s="7">
        <v>0.1</v>
      </c>
      <c r="L141" s="7">
        <v>0.2</v>
      </c>
      <c r="M141" s="7">
        <v>0.2</v>
      </c>
      <c r="N141" s="7">
        <v>0.1</v>
      </c>
      <c r="O141" s="7">
        <v>0.1</v>
      </c>
      <c r="P141" s="7">
        <v>0.6</v>
      </c>
      <c r="Q141" s="7">
        <v>0.3</v>
      </c>
      <c r="R141" s="7">
        <v>0.1</v>
      </c>
      <c r="S141" s="7">
        <v>0.3</v>
      </c>
      <c r="T141" s="7">
        <v>0.1</v>
      </c>
      <c r="U141" s="7">
        <v>0.1</v>
      </c>
      <c r="V141" s="7">
        <v>0.2</v>
      </c>
      <c r="W141" s="7">
        <v>0.1</v>
      </c>
      <c r="X141" s="7">
        <v>0.3</v>
      </c>
      <c r="Y141" s="7">
        <v>0.4</v>
      </c>
      <c r="Z141" s="7">
        <v>0.2</v>
      </c>
      <c r="AA141" s="7">
        <v>0.1</v>
      </c>
    </row>
    <row r="142" spans="2:27" s="5" customFormat="1" x14ac:dyDescent="0.2">
      <c r="B142" s="190" t="s">
        <v>220</v>
      </c>
      <c r="C142" s="15" t="s">
        <v>2</v>
      </c>
      <c r="D142" s="39">
        <v>1105306</v>
      </c>
      <c r="E142" s="39">
        <v>85669</v>
      </c>
      <c r="F142" s="39">
        <v>606</v>
      </c>
      <c r="G142" s="6">
        <v>49</v>
      </c>
      <c r="H142" s="6">
        <v>26</v>
      </c>
      <c r="I142" s="6">
        <v>33</v>
      </c>
      <c r="J142" s="6">
        <v>48</v>
      </c>
      <c r="K142" s="6">
        <v>37</v>
      </c>
      <c r="L142" s="6">
        <v>11</v>
      </c>
      <c r="M142" s="6">
        <v>18</v>
      </c>
      <c r="N142" s="6">
        <v>52</v>
      </c>
      <c r="O142" s="6">
        <v>23</v>
      </c>
      <c r="P142" s="6">
        <v>50</v>
      </c>
      <c r="Q142" s="6">
        <v>22</v>
      </c>
      <c r="R142" s="6">
        <v>11</v>
      </c>
      <c r="S142" s="6">
        <v>72</v>
      </c>
      <c r="T142" s="6">
        <v>13</v>
      </c>
      <c r="U142" s="6">
        <v>19</v>
      </c>
      <c r="V142" s="6">
        <v>4</v>
      </c>
      <c r="W142" s="6">
        <v>9</v>
      </c>
      <c r="X142" s="6">
        <v>26</v>
      </c>
      <c r="Y142" s="6">
        <v>30</v>
      </c>
      <c r="Z142" s="6">
        <v>13</v>
      </c>
      <c r="AA142" s="6">
        <v>40</v>
      </c>
    </row>
    <row r="143" spans="2:27" s="5" customFormat="1" x14ac:dyDescent="0.2">
      <c r="B143" s="191"/>
      <c r="C143" s="15" t="s">
        <v>3</v>
      </c>
      <c r="D143" s="39">
        <v>2.1</v>
      </c>
      <c r="E143" s="39">
        <v>1.6</v>
      </c>
      <c r="F143" s="39">
        <v>0.3</v>
      </c>
      <c r="G143" s="7">
        <v>0.4</v>
      </c>
      <c r="H143" s="7">
        <v>0.2</v>
      </c>
      <c r="I143" s="7">
        <v>0.3</v>
      </c>
      <c r="J143" s="7">
        <v>0.4</v>
      </c>
      <c r="K143" s="7">
        <v>0.3</v>
      </c>
      <c r="L143" s="7">
        <v>0.1</v>
      </c>
      <c r="M143" s="7">
        <v>0.2</v>
      </c>
      <c r="N143" s="7">
        <v>0.5</v>
      </c>
      <c r="O143" s="7">
        <v>0.2</v>
      </c>
      <c r="P143" s="7">
        <v>0.5</v>
      </c>
      <c r="Q143" s="7">
        <v>0.2</v>
      </c>
      <c r="R143" s="7">
        <v>0.1</v>
      </c>
      <c r="S143" s="7">
        <v>0.7</v>
      </c>
      <c r="T143" s="7">
        <v>0.1</v>
      </c>
      <c r="U143" s="7">
        <v>0.2</v>
      </c>
      <c r="V143" s="7">
        <v>0</v>
      </c>
      <c r="W143" s="7">
        <v>0.1</v>
      </c>
      <c r="X143" s="7">
        <v>0.3</v>
      </c>
      <c r="Y143" s="7">
        <v>0.3</v>
      </c>
      <c r="Z143" s="7">
        <v>0.1</v>
      </c>
      <c r="AA143" s="7">
        <v>0.4</v>
      </c>
    </row>
    <row r="144" spans="2:27" s="5" customFormat="1" x14ac:dyDescent="0.2">
      <c r="B144" s="190" t="s">
        <v>221</v>
      </c>
      <c r="C144" s="15" t="s">
        <v>2</v>
      </c>
      <c r="D144" s="39">
        <v>329733</v>
      </c>
      <c r="E144" s="39">
        <v>14412</v>
      </c>
      <c r="F144" s="39">
        <v>189</v>
      </c>
      <c r="G144" s="6">
        <v>14</v>
      </c>
      <c r="H144" s="6">
        <v>11</v>
      </c>
      <c r="I144" s="6">
        <v>5</v>
      </c>
      <c r="J144" s="6">
        <v>8</v>
      </c>
      <c r="K144" s="6">
        <v>4</v>
      </c>
      <c r="L144" s="6">
        <v>9</v>
      </c>
      <c r="M144" s="6">
        <v>8</v>
      </c>
      <c r="N144" s="6">
        <v>8</v>
      </c>
      <c r="O144" s="6">
        <v>9</v>
      </c>
      <c r="P144" s="6">
        <v>12</v>
      </c>
      <c r="Q144" s="6">
        <v>7</v>
      </c>
      <c r="R144" s="6">
        <v>15</v>
      </c>
      <c r="S144" s="6">
        <v>15</v>
      </c>
      <c r="T144" s="6">
        <v>26</v>
      </c>
      <c r="U144" s="6">
        <v>14</v>
      </c>
      <c r="V144" s="6">
        <v>3</v>
      </c>
      <c r="W144" s="6">
        <v>3</v>
      </c>
      <c r="X144" s="6">
        <v>1</v>
      </c>
      <c r="Y144" s="6">
        <v>5</v>
      </c>
      <c r="Z144" s="6">
        <v>3</v>
      </c>
      <c r="AA144" s="6">
        <v>9</v>
      </c>
    </row>
    <row r="145" spans="1:27" s="5" customFormat="1" x14ac:dyDescent="0.2">
      <c r="B145" s="191"/>
      <c r="C145" s="15" t="s">
        <v>3</v>
      </c>
      <c r="D145" s="39">
        <v>0.6</v>
      </c>
      <c r="E145" s="39">
        <v>0.3</v>
      </c>
      <c r="F145" s="39">
        <v>0.1</v>
      </c>
      <c r="G145" s="7">
        <v>0.1</v>
      </c>
      <c r="H145" s="7">
        <v>0.1</v>
      </c>
      <c r="I145" s="7">
        <v>0</v>
      </c>
      <c r="J145" s="7">
        <v>0.1</v>
      </c>
      <c r="K145" s="7">
        <v>0</v>
      </c>
      <c r="L145" s="7">
        <v>0.1</v>
      </c>
      <c r="M145" s="7">
        <v>0.1</v>
      </c>
      <c r="N145" s="7">
        <v>0.1</v>
      </c>
      <c r="O145" s="7">
        <v>0.1</v>
      </c>
      <c r="P145" s="7">
        <v>0.1</v>
      </c>
      <c r="Q145" s="7">
        <v>0.1</v>
      </c>
      <c r="R145" s="7">
        <v>0.1</v>
      </c>
      <c r="S145" s="7">
        <v>0.1</v>
      </c>
      <c r="T145" s="7">
        <v>0.2</v>
      </c>
      <c r="U145" s="7">
        <v>0.1</v>
      </c>
      <c r="V145" s="7">
        <v>0</v>
      </c>
      <c r="W145" s="7">
        <v>0</v>
      </c>
      <c r="X145" s="7">
        <v>0</v>
      </c>
      <c r="Y145" s="7">
        <v>0</v>
      </c>
      <c r="Z145" s="7">
        <v>0</v>
      </c>
      <c r="AA145" s="7">
        <v>0.1</v>
      </c>
    </row>
    <row r="146" spans="1:27" s="5" customFormat="1" x14ac:dyDescent="0.2">
      <c r="B146" s="190" t="s">
        <v>222</v>
      </c>
      <c r="C146" s="15" t="s">
        <v>2</v>
      </c>
      <c r="D146" s="39">
        <v>8995</v>
      </c>
      <c r="E146" s="39">
        <v>570</v>
      </c>
      <c r="F146" s="39">
        <v>6</v>
      </c>
      <c r="G146" s="6">
        <v>0</v>
      </c>
      <c r="H146" s="6">
        <v>1</v>
      </c>
      <c r="I146" s="6">
        <v>0</v>
      </c>
      <c r="J146" s="6">
        <v>0</v>
      </c>
      <c r="K146" s="6">
        <v>1</v>
      </c>
      <c r="L146" s="6">
        <v>0</v>
      </c>
      <c r="M146" s="6">
        <v>0</v>
      </c>
      <c r="N146" s="6">
        <v>0</v>
      </c>
      <c r="O146" s="6">
        <v>0</v>
      </c>
      <c r="P146" s="6">
        <v>1</v>
      </c>
      <c r="Q146" s="6">
        <v>0</v>
      </c>
      <c r="R146" s="6">
        <v>1</v>
      </c>
      <c r="S146" s="6">
        <v>0</v>
      </c>
      <c r="T146" s="6">
        <v>1</v>
      </c>
      <c r="U146" s="6">
        <v>0</v>
      </c>
      <c r="V146" s="6">
        <v>0</v>
      </c>
      <c r="W146" s="6">
        <v>0</v>
      </c>
      <c r="X146" s="6">
        <v>0</v>
      </c>
      <c r="Y146" s="6">
        <v>0</v>
      </c>
      <c r="Z146" s="6">
        <v>1</v>
      </c>
      <c r="AA146" s="6">
        <v>0</v>
      </c>
    </row>
    <row r="147" spans="1:27" s="5" customFormat="1" x14ac:dyDescent="0.2">
      <c r="B147" s="191"/>
      <c r="C147" s="15" t="s">
        <v>3</v>
      </c>
      <c r="D147" s="39">
        <v>0</v>
      </c>
      <c r="E147" s="39">
        <v>0</v>
      </c>
      <c r="F147" s="39">
        <v>0</v>
      </c>
      <c r="G147" s="7">
        <v>0</v>
      </c>
      <c r="H147" s="7">
        <v>0</v>
      </c>
      <c r="I147" s="7">
        <v>0</v>
      </c>
      <c r="J147" s="7">
        <v>0</v>
      </c>
      <c r="K147" s="7">
        <v>0</v>
      </c>
      <c r="L147" s="7">
        <v>0</v>
      </c>
      <c r="M147" s="7">
        <v>0</v>
      </c>
      <c r="N147" s="7">
        <v>0</v>
      </c>
      <c r="O147" s="7">
        <v>0</v>
      </c>
      <c r="P147" s="7">
        <v>0</v>
      </c>
      <c r="Q147" s="7">
        <v>0</v>
      </c>
      <c r="R147" s="7">
        <v>0</v>
      </c>
      <c r="S147" s="7">
        <v>0</v>
      </c>
      <c r="T147" s="7">
        <v>0</v>
      </c>
      <c r="U147" s="7">
        <v>0</v>
      </c>
      <c r="V147" s="7">
        <v>0</v>
      </c>
      <c r="W147" s="7">
        <v>0</v>
      </c>
      <c r="X147" s="7">
        <v>0</v>
      </c>
      <c r="Y147" s="7">
        <v>0</v>
      </c>
      <c r="Z147" s="7">
        <v>0</v>
      </c>
      <c r="AA147" s="7">
        <v>0</v>
      </c>
    </row>
    <row r="148" spans="1:27" s="5" customFormat="1" x14ac:dyDescent="0.2">
      <c r="B148" s="190" t="s">
        <v>223</v>
      </c>
      <c r="C148" s="15" t="s">
        <v>2</v>
      </c>
      <c r="D148" s="39">
        <v>73390</v>
      </c>
      <c r="E148" s="39">
        <v>1670</v>
      </c>
      <c r="F148" s="39">
        <v>31</v>
      </c>
      <c r="G148" s="6">
        <v>7</v>
      </c>
      <c r="H148" s="6">
        <v>0</v>
      </c>
      <c r="I148" s="6">
        <v>1</v>
      </c>
      <c r="J148" s="6">
        <v>0</v>
      </c>
      <c r="K148" s="6">
        <v>0</v>
      </c>
      <c r="L148" s="6">
        <v>0</v>
      </c>
      <c r="M148" s="6">
        <v>0</v>
      </c>
      <c r="N148" s="6">
        <v>0</v>
      </c>
      <c r="O148" s="6">
        <v>0</v>
      </c>
      <c r="P148" s="6">
        <v>3</v>
      </c>
      <c r="Q148" s="6">
        <v>1</v>
      </c>
      <c r="R148" s="6">
        <v>0</v>
      </c>
      <c r="S148" s="6">
        <v>1</v>
      </c>
      <c r="T148" s="6">
        <v>0</v>
      </c>
      <c r="U148" s="6">
        <v>10</v>
      </c>
      <c r="V148" s="6">
        <v>0</v>
      </c>
      <c r="W148" s="6">
        <v>0</v>
      </c>
      <c r="X148" s="6">
        <v>5</v>
      </c>
      <c r="Y148" s="6">
        <v>0</v>
      </c>
      <c r="Z148" s="6">
        <v>2</v>
      </c>
      <c r="AA148" s="6">
        <v>1</v>
      </c>
    </row>
    <row r="149" spans="1:27" s="5" customFormat="1" x14ac:dyDescent="0.2">
      <c r="B149" s="191"/>
      <c r="C149" s="15" t="s">
        <v>3</v>
      </c>
      <c r="D149" s="39">
        <v>0.1</v>
      </c>
      <c r="E149" s="39">
        <v>0</v>
      </c>
      <c r="F149" s="39">
        <v>0</v>
      </c>
      <c r="G149" s="7">
        <v>0.1</v>
      </c>
      <c r="H149" s="7">
        <v>0</v>
      </c>
      <c r="I149" s="7">
        <v>0</v>
      </c>
      <c r="J149" s="7">
        <v>0</v>
      </c>
      <c r="K149" s="7">
        <v>0</v>
      </c>
      <c r="L149" s="7">
        <v>0</v>
      </c>
      <c r="M149" s="7">
        <v>0</v>
      </c>
      <c r="N149" s="7">
        <v>0</v>
      </c>
      <c r="O149" s="7">
        <v>0</v>
      </c>
      <c r="P149" s="7">
        <v>0</v>
      </c>
      <c r="Q149" s="7">
        <v>0</v>
      </c>
      <c r="R149" s="7">
        <v>0</v>
      </c>
      <c r="S149" s="7">
        <v>0</v>
      </c>
      <c r="T149" s="7">
        <v>0</v>
      </c>
      <c r="U149" s="7">
        <v>0.1</v>
      </c>
      <c r="V149" s="7">
        <v>0</v>
      </c>
      <c r="W149" s="7">
        <v>0</v>
      </c>
      <c r="X149" s="7">
        <v>0</v>
      </c>
      <c r="Y149" s="7">
        <v>0</v>
      </c>
      <c r="Z149" s="7">
        <v>0</v>
      </c>
      <c r="AA149" s="7">
        <v>0</v>
      </c>
    </row>
    <row r="150" spans="1:27" s="5" customFormat="1" x14ac:dyDescent="0.2">
      <c r="B150" s="190" t="s">
        <v>224</v>
      </c>
      <c r="C150" s="15" t="s">
        <v>2</v>
      </c>
      <c r="D150" s="39">
        <v>206256</v>
      </c>
      <c r="E150" s="39">
        <v>7661</v>
      </c>
      <c r="F150" s="39">
        <v>131</v>
      </c>
      <c r="G150" s="6">
        <v>4</v>
      </c>
      <c r="H150" s="6">
        <v>3</v>
      </c>
      <c r="I150" s="6">
        <v>1</v>
      </c>
      <c r="J150" s="6">
        <v>8</v>
      </c>
      <c r="K150" s="6">
        <v>3</v>
      </c>
      <c r="L150" s="6">
        <v>16</v>
      </c>
      <c r="M150" s="6">
        <v>2</v>
      </c>
      <c r="N150" s="6">
        <v>10</v>
      </c>
      <c r="O150" s="6">
        <v>6</v>
      </c>
      <c r="P150" s="6">
        <v>10</v>
      </c>
      <c r="Q150" s="6">
        <v>4</v>
      </c>
      <c r="R150" s="6">
        <v>3</v>
      </c>
      <c r="S150" s="6">
        <v>10</v>
      </c>
      <c r="T150" s="6">
        <v>17</v>
      </c>
      <c r="U150" s="6">
        <v>7</v>
      </c>
      <c r="V150" s="6">
        <v>2</v>
      </c>
      <c r="W150" s="6">
        <v>0</v>
      </c>
      <c r="X150" s="6">
        <v>1</v>
      </c>
      <c r="Y150" s="6">
        <v>13</v>
      </c>
      <c r="Z150" s="6">
        <v>5</v>
      </c>
      <c r="AA150" s="6">
        <v>6</v>
      </c>
    </row>
    <row r="151" spans="1:27" s="5" customFormat="1" x14ac:dyDescent="0.2">
      <c r="B151" s="191"/>
      <c r="C151" s="15" t="s">
        <v>3</v>
      </c>
      <c r="D151" s="39">
        <v>0.4</v>
      </c>
      <c r="E151" s="39">
        <v>0.1</v>
      </c>
      <c r="F151" s="39">
        <v>0.1</v>
      </c>
      <c r="G151" s="7">
        <v>0</v>
      </c>
      <c r="H151" s="7">
        <v>0</v>
      </c>
      <c r="I151" s="7">
        <v>0</v>
      </c>
      <c r="J151" s="7">
        <v>0.1</v>
      </c>
      <c r="K151" s="7">
        <v>0</v>
      </c>
      <c r="L151" s="7">
        <v>0.2</v>
      </c>
      <c r="M151" s="7">
        <v>0</v>
      </c>
      <c r="N151" s="7">
        <v>0.1</v>
      </c>
      <c r="O151" s="7">
        <v>0.1</v>
      </c>
      <c r="P151" s="7">
        <v>0.1</v>
      </c>
      <c r="Q151" s="7">
        <v>0</v>
      </c>
      <c r="R151" s="7">
        <v>0</v>
      </c>
      <c r="S151" s="7">
        <v>0.1</v>
      </c>
      <c r="T151" s="7">
        <v>0.1</v>
      </c>
      <c r="U151" s="7">
        <v>0.1</v>
      </c>
      <c r="V151" s="7">
        <v>0</v>
      </c>
      <c r="W151" s="7">
        <v>0</v>
      </c>
      <c r="X151" s="7">
        <v>0</v>
      </c>
      <c r="Y151" s="7">
        <v>0.1</v>
      </c>
      <c r="Z151" s="7">
        <v>0</v>
      </c>
      <c r="AA151" s="7">
        <v>0.1</v>
      </c>
    </row>
    <row r="152" spans="1:27" s="5" customFormat="1" x14ac:dyDescent="0.2">
      <c r="B152" s="190" t="s">
        <v>225</v>
      </c>
      <c r="C152" s="15" t="s">
        <v>2</v>
      </c>
      <c r="D152" s="39">
        <v>2073</v>
      </c>
      <c r="E152" s="39">
        <v>115</v>
      </c>
      <c r="F152" s="39">
        <v>3</v>
      </c>
      <c r="G152" s="6">
        <v>0</v>
      </c>
      <c r="H152" s="6">
        <v>0</v>
      </c>
      <c r="I152" s="6">
        <v>1</v>
      </c>
      <c r="J152" s="6">
        <v>0</v>
      </c>
      <c r="K152" s="6">
        <v>0</v>
      </c>
      <c r="L152" s="6">
        <v>0</v>
      </c>
      <c r="M152" s="6">
        <v>0</v>
      </c>
      <c r="N152" s="6">
        <v>0</v>
      </c>
      <c r="O152" s="6">
        <v>0</v>
      </c>
      <c r="P152" s="6">
        <v>1</v>
      </c>
      <c r="Q152" s="6">
        <v>0</v>
      </c>
      <c r="R152" s="6">
        <v>0</v>
      </c>
      <c r="S152" s="6">
        <v>0</v>
      </c>
      <c r="T152" s="6">
        <v>1</v>
      </c>
      <c r="U152" s="6">
        <v>0</v>
      </c>
      <c r="V152" s="6">
        <v>0</v>
      </c>
      <c r="W152" s="6">
        <v>0</v>
      </c>
      <c r="X152" s="6">
        <v>0</v>
      </c>
      <c r="Y152" s="6">
        <v>0</v>
      </c>
      <c r="Z152" s="6">
        <v>0</v>
      </c>
      <c r="AA152" s="6">
        <v>0</v>
      </c>
    </row>
    <row r="153" spans="1:27" s="5" customFormat="1" x14ac:dyDescent="0.2">
      <c r="B153" s="191"/>
      <c r="C153" s="15" t="s">
        <v>3</v>
      </c>
      <c r="D153" s="39">
        <v>0</v>
      </c>
      <c r="E153" s="39">
        <v>0</v>
      </c>
      <c r="F153" s="39">
        <v>0</v>
      </c>
      <c r="G153" s="7">
        <v>0</v>
      </c>
      <c r="H153" s="7">
        <v>0</v>
      </c>
      <c r="I153" s="7">
        <v>0</v>
      </c>
      <c r="J153" s="7">
        <v>0</v>
      </c>
      <c r="K153" s="7">
        <v>0</v>
      </c>
      <c r="L153" s="7">
        <v>0</v>
      </c>
      <c r="M153" s="7">
        <v>0</v>
      </c>
      <c r="N153" s="7">
        <v>0</v>
      </c>
      <c r="O153" s="7">
        <v>0</v>
      </c>
      <c r="P153" s="7">
        <v>0</v>
      </c>
      <c r="Q153" s="7">
        <v>0</v>
      </c>
      <c r="R153" s="7">
        <v>0</v>
      </c>
      <c r="S153" s="7">
        <v>0</v>
      </c>
      <c r="T153" s="7">
        <v>0</v>
      </c>
      <c r="U153" s="7">
        <v>0</v>
      </c>
      <c r="V153" s="7">
        <v>0</v>
      </c>
      <c r="W153" s="7">
        <v>0</v>
      </c>
      <c r="X153" s="7">
        <v>0</v>
      </c>
      <c r="Y153" s="7">
        <v>0</v>
      </c>
      <c r="Z153" s="7">
        <v>0</v>
      </c>
      <c r="AA153" s="7">
        <v>0</v>
      </c>
    </row>
    <row r="154" spans="1:27" s="5" customFormat="1" x14ac:dyDescent="0.2">
      <c r="A154" s="5" t="s">
        <v>136</v>
      </c>
      <c r="B154" s="190" t="s">
        <v>131</v>
      </c>
      <c r="C154" s="15" t="s">
        <v>2</v>
      </c>
      <c r="D154" s="39">
        <v>22063368</v>
      </c>
      <c r="E154" s="39">
        <v>2224059</v>
      </c>
      <c r="F154" s="39">
        <v>100734</v>
      </c>
      <c r="G154" s="6">
        <v>5248</v>
      </c>
      <c r="H154" s="6">
        <v>4620</v>
      </c>
      <c r="I154" s="6">
        <v>4577</v>
      </c>
      <c r="J154" s="6">
        <v>4595</v>
      </c>
      <c r="K154" s="6">
        <v>4590</v>
      </c>
      <c r="L154" s="6">
        <v>4666</v>
      </c>
      <c r="M154" s="6">
        <v>4957</v>
      </c>
      <c r="N154" s="6">
        <v>4378</v>
      </c>
      <c r="O154" s="6">
        <v>5112</v>
      </c>
      <c r="P154" s="6">
        <v>4982</v>
      </c>
      <c r="Q154" s="6">
        <v>4725</v>
      </c>
      <c r="R154" s="6">
        <v>5511</v>
      </c>
      <c r="S154" s="6">
        <v>4798</v>
      </c>
      <c r="T154" s="6">
        <v>4953</v>
      </c>
      <c r="U154" s="6">
        <v>4878</v>
      </c>
      <c r="V154" s="6">
        <v>4920</v>
      </c>
      <c r="W154" s="6">
        <v>4583</v>
      </c>
      <c r="X154" s="6">
        <v>4350</v>
      </c>
      <c r="Y154" s="6">
        <v>5024</v>
      </c>
      <c r="Z154" s="6">
        <v>4965</v>
      </c>
      <c r="AA154" s="6">
        <v>4302</v>
      </c>
    </row>
    <row r="155" spans="1:27" s="5" customFormat="1" x14ac:dyDescent="0.2">
      <c r="B155" s="191"/>
      <c r="C155" s="15" t="s">
        <v>3</v>
      </c>
      <c r="D155" s="39">
        <v>100</v>
      </c>
      <c r="E155" s="39">
        <v>100</v>
      </c>
      <c r="F155" s="39">
        <v>100</v>
      </c>
      <c r="G155" s="7">
        <v>100</v>
      </c>
      <c r="H155" s="7">
        <v>100</v>
      </c>
      <c r="I155" s="7">
        <v>100</v>
      </c>
      <c r="J155" s="7">
        <v>100</v>
      </c>
      <c r="K155" s="7">
        <v>100</v>
      </c>
      <c r="L155" s="7">
        <v>100</v>
      </c>
      <c r="M155" s="7">
        <v>100</v>
      </c>
      <c r="N155" s="7">
        <v>100</v>
      </c>
      <c r="O155" s="7">
        <v>100</v>
      </c>
      <c r="P155" s="7">
        <v>100</v>
      </c>
      <c r="Q155" s="7">
        <v>100</v>
      </c>
      <c r="R155" s="7">
        <v>100</v>
      </c>
      <c r="S155" s="7">
        <v>100</v>
      </c>
      <c r="T155" s="7">
        <v>100</v>
      </c>
      <c r="U155" s="7">
        <v>100</v>
      </c>
      <c r="V155" s="7">
        <v>100</v>
      </c>
      <c r="W155" s="7">
        <v>100</v>
      </c>
      <c r="X155" s="7">
        <v>100</v>
      </c>
      <c r="Y155" s="7">
        <v>100</v>
      </c>
      <c r="Z155" s="7">
        <v>100</v>
      </c>
      <c r="AA155" s="7">
        <v>100</v>
      </c>
    </row>
    <row r="156" spans="1:27" s="5" customFormat="1" x14ac:dyDescent="0.2">
      <c r="B156" s="190" t="s">
        <v>132</v>
      </c>
      <c r="C156" s="15" t="s">
        <v>2</v>
      </c>
      <c r="D156" s="39">
        <v>20053717</v>
      </c>
      <c r="E156" s="39">
        <v>2076948</v>
      </c>
      <c r="F156" s="39">
        <v>98416</v>
      </c>
      <c r="G156" s="6">
        <v>4876</v>
      </c>
      <c r="H156" s="6">
        <v>4550</v>
      </c>
      <c r="I156" s="6">
        <v>4468</v>
      </c>
      <c r="J156" s="6">
        <v>4489</v>
      </c>
      <c r="K156" s="6">
        <v>4514</v>
      </c>
      <c r="L156" s="6">
        <v>4610</v>
      </c>
      <c r="M156" s="6">
        <v>4880</v>
      </c>
      <c r="N156" s="6">
        <v>4296</v>
      </c>
      <c r="O156" s="6">
        <v>5037</v>
      </c>
      <c r="P156" s="6">
        <v>4675</v>
      </c>
      <c r="Q156" s="6">
        <v>4656</v>
      </c>
      <c r="R156" s="6">
        <v>5421</v>
      </c>
      <c r="S156" s="6">
        <v>4602</v>
      </c>
      <c r="T156" s="6">
        <v>4901</v>
      </c>
      <c r="U156" s="6">
        <v>4818</v>
      </c>
      <c r="V156" s="6">
        <v>4869</v>
      </c>
      <c r="W156" s="6">
        <v>4531</v>
      </c>
      <c r="X156" s="6">
        <v>4266</v>
      </c>
      <c r="Y156" s="6">
        <v>4895</v>
      </c>
      <c r="Z156" s="6">
        <v>4866</v>
      </c>
      <c r="AA156" s="6">
        <v>4196</v>
      </c>
    </row>
    <row r="157" spans="1:27" s="5" customFormat="1" x14ac:dyDescent="0.2">
      <c r="B157" s="191"/>
      <c r="C157" s="15" t="s">
        <v>3</v>
      </c>
      <c r="D157" s="39">
        <v>90.9</v>
      </c>
      <c r="E157" s="39">
        <v>93.4</v>
      </c>
      <c r="F157" s="39">
        <v>97.7</v>
      </c>
      <c r="G157" s="7">
        <v>92.9</v>
      </c>
      <c r="H157" s="7">
        <v>98.5</v>
      </c>
      <c r="I157" s="7">
        <v>97.6</v>
      </c>
      <c r="J157" s="7">
        <v>97.7</v>
      </c>
      <c r="K157" s="7">
        <v>98.3</v>
      </c>
      <c r="L157" s="7">
        <v>98.8</v>
      </c>
      <c r="M157" s="7">
        <v>98.4</v>
      </c>
      <c r="N157" s="7">
        <v>98.1</v>
      </c>
      <c r="O157" s="7">
        <v>98.5</v>
      </c>
      <c r="P157" s="7">
        <v>93.8</v>
      </c>
      <c r="Q157" s="7">
        <v>98.5</v>
      </c>
      <c r="R157" s="7">
        <v>98.4</v>
      </c>
      <c r="S157" s="7">
        <v>95.9</v>
      </c>
      <c r="T157" s="7">
        <v>99</v>
      </c>
      <c r="U157" s="7">
        <v>98.8</v>
      </c>
      <c r="V157" s="7">
        <v>99</v>
      </c>
      <c r="W157" s="7">
        <v>98.9</v>
      </c>
      <c r="X157" s="7">
        <v>98.1</v>
      </c>
      <c r="Y157" s="7">
        <v>97.4</v>
      </c>
      <c r="Z157" s="7">
        <v>98</v>
      </c>
      <c r="AA157" s="7">
        <v>97.5</v>
      </c>
    </row>
    <row r="158" spans="1:27" s="5" customFormat="1" x14ac:dyDescent="0.2">
      <c r="B158" s="190" t="s">
        <v>133</v>
      </c>
      <c r="C158" s="15" t="s">
        <v>2</v>
      </c>
      <c r="D158" s="39">
        <v>850510</v>
      </c>
      <c r="E158" s="39">
        <v>64179</v>
      </c>
      <c r="F158" s="39">
        <v>813</v>
      </c>
      <c r="G158" s="6">
        <v>83</v>
      </c>
      <c r="H158" s="6">
        <v>28</v>
      </c>
      <c r="I158" s="6">
        <v>32</v>
      </c>
      <c r="J158" s="6">
        <v>50</v>
      </c>
      <c r="K158" s="6">
        <v>36</v>
      </c>
      <c r="L158" s="6">
        <v>22</v>
      </c>
      <c r="M158" s="6">
        <v>28</v>
      </c>
      <c r="N158" s="6">
        <v>32</v>
      </c>
      <c r="O158" s="6">
        <v>45</v>
      </c>
      <c r="P158" s="6">
        <v>56</v>
      </c>
      <c r="Q158" s="6">
        <v>33</v>
      </c>
      <c r="R158" s="6">
        <v>28</v>
      </c>
      <c r="S158" s="6">
        <v>64</v>
      </c>
      <c r="T158" s="6">
        <v>38</v>
      </c>
      <c r="U158" s="6">
        <v>39</v>
      </c>
      <c r="V158" s="6">
        <v>26</v>
      </c>
      <c r="W158" s="6">
        <v>27</v>
      </c>
      <c r="X158" s="6">
        <v>34</v>
      </c>
      <c r="Y158" s="6">
        <v>42</v>
      </c>
      <c r="Z158" s="6">
        <v>30</v>
      </c>
      <c r="AA158" s="6">
        <v>40</v>
      </c>
    </row>
    <row r="159" spans="1:27" s="5" customFormat="1" x14ac:dyDescent="0.2">
      <c r="B159" s="191"/>
      <c r="C159" s="15" t="s">
        <v>3</v>
      </c>
      <c r="D159" s="39">
        <v>3.9</v>
      </c>
      <c r="E159" s="39">
        <v>2.9</v>
      </c>
      <c r="F159" s="39">
        <v>0.8</v>
      </c>
      <c r="G159" s="7">
        <v>1.6</v>
      </c>
      <c r="H159" s="7">
        <v>0.6</v>
      </c>
      <c r="I159" s="7">
        <v>0.7</v>
      </c>
      <c r="J159" s="7">
        <v>1.1000000000000001</v>
      </c>
      <c r="K159" s="7">
        <v>0.8</v>
      </c>
      <c r="L159" s="7">
        <v>0.5</v>
      </c>
      <c r="M159" s="7">
        <v>0.6</v>
      </c>
      <c r="N159" s="7">
        <v>0.7</v>
      </c>
      <c r="O159" s="7">
        <v>0.9</v>
      </c>
      <c r="P159" s="7">
        <v>1.1000000000000001</v>
      </c>
      <c r="Q159" s="7">
        <v>0.7</v>
      </c>
      <c r="R159" s="7">
        <v>0.5</v>
      </c>
      <c r="S159" s="7">
        <v>1.3</v>
      </c>
      <c r="T159" s="7">
        <v>0.8</v>
      </c>
      <c r="U159" s="7">
        <v>0.8</v>
      </c>
      <c r="V159" s="7">
        <v>0.5</v>
      </c>
      <c r="W159" s="7">
        <v>0.6</v>
      </c>
      <c r="X159" s="7">
        <v>0.8</v>
      </c>
      <c r="Y159" s="7">
        <v>0.8</v>
      </c>
      <c r="Z159" s="7">
        <v>0.6</v>
      </c>
      <c r="AA159" s="7">
        <v>0.9</v>
      </c>
    </row>
    <row r="160" spans="1:27" s="5" customFormat="1" x14ac:dyDescent="0.2">
      <c r="B160" s="190" t="s">
        <v>134</v>
      </c>
      <c r="C160" s="15" t="s">
        <v>2</v>
      </c>
      <c r="D160" s="39">
        <v>178838</v>
      </c>
      <c r="E160" s="39">
        <v>11773</v>
      </c>
      <c r="F160" s="39">
        <v>166</v>
      </c>
      <c r="G160" s="6">
        <v>11</v>
      </c>
      <c r="H160" s="6">
        <v>2</v>
      </c>
      <c r="I160" s="6">
        <v>8</v>
      </c>
      <c r="J160" s="6">
        <v>4</v>
      </c>
      <c r="K160" s="6">
        <v>5</v>
      </c>
      <c r="L160" s="6">
        <v>9</v>
      </c>
      <c r="M160" s="6">
        <v>5</v>
      </c>
      <c r="N160" s="6">
        <v>6</v>
      </c>
      <c r="O160" s="6">
        <v>5</v>
      </c>
      <c r="P160" s="6">
        <v>24</v>
      </c>
      <c r="Q160" s="6">
        <v>6</v>
      </c>
      <c r="R160" s="6">
        <v>6</v>
      </c>
      <c r="S160" s="6">
        <v>12</v>
      </c>
      <c r="T160" s="6">
        <v>2</v>
      </c>
      <c r="U160" s="6">
        <v>5</v>
      </c>
      <c r="V160" s="6">
        <v>3</v>
      </c>
      <c r="W160" s="6">
        <v>4</v>
      </c>
      <c r="X160" s="6">
        <v>10</v>
      </c>
      <c r="Y160" s="6">
        <v>17</v>
      </c>
      <c r="Z160" s="6">
        <v>6</v>
      </c>
      <c r="AA160" s="6">
        <v>16</v>
      </c>
    </row>
    <row r="161" spans="1:27" s="5" customFormat="1" x14ac:dyDescent="0.2">
      <c r="B161" s="191"/>
      <c r="C161" s="15" t="s">
        <v>3</v>
      </c>
      <c r="D161" s="39">
        <v>0.8</v>
      </c>
      <c r="E161" s="39">
        <v>0.5</v>
      </c>
      <c r="F161" s="39">
        <v>0.2</v>
      </c>
      <c r="G161" s="7">
        <v>0.2</v>
      </c>
      <c r="H161" s="7">
        <v>0</v>
      </c>
      <c r="I161" s="7">
        <v>0.2</v>
      </c>
      <c r="J161" s="7">
        <v>0.1</v>
      </c>
      <c r="K161" s="7">
        <v>0.1</v>
      </c>
      <c r="L161" s="7">
        <v>0.2</v>
      </c>
      <c r="M161" s="7">
        <v>0.1</v>
      </c>
      <c r="N161" s="7">
        <v>0.1</v>
      </c>
      <c r="O161" s="7">
        <v>0.1</v>
      </c>
      <c r="P161" s="7">
        <v>0.5</v>
      </c>
      <c r="Q161" s="7">
        <v>0.1</v>
      </c>
      <c r="R161" s="7">
        <v>0.1</v>
      </c>
      <c r="S161" s="7">
        <v>0.3</v>
      </c>
      <c r="T161" s="7">
        <v>0</v>
      </c>
      <c r="U161" s="7">
        <v>0.1</v>
      </c>
      <c r="V161" s="7">
        <v>0.1</v>
      </c>
      <c r="W161" s="7">
        <v>0.1</v>
      </c>
      <c r="X161" s="7">
        <v>0.2</v>
      </c>
      <c r="Y161" s="7">
        <v>0.3</v>
      </c>
      <c r="Z161" s="7">
        <v>0.1</v>
      </c>
      <c r="AA161" s="7">
        <v>0.4</v>
      </c>
    </row>
    <row r="162" spans="1:27" s="5" customFormat="1" x14ac:dyDescent="0.2">
      <c r="B162" s="190" t="s">
        <v>135</v>
      </c>
      <c r="C162" s="15" t="s">
        <v>2</v>
      </c>
      <c r="D162" s="39">
        <v>980303</v>
      </c>
      <c r="E162" s="39">
        <v>71159</v>
      </c>
      <c r="F162" s="39">
        <v>1339</v>
      </c>
      <c r="G162" s="6">
        <v>278</v>
      </c>
      <c r="H162" s="6">
        <v>40</v>
      </c>
      <c r="I162" s="6">
        <v>69</v>
      </c>
      <c r="J162" s="6">
        <v>52</v>
      </c>
      <c r="K162" s="6">
        <v>35</v>
      </c>
      <c r="L162" s="6">
        <v>25</v>
      </c>
      <c r="M162" s="6">
        <v>44</v>
      </c>
      <c r="N162" s="6">
        <v>44</v>
      </c>
      <c r="O162" s="6">
        <v>25</v>
      </c>
      <c r="P162" s="6">
        <v>227</v>
      </c>
      <c r="Q162" s="6">
        <v>30</v>
      </c>
      <c r="R162" s="6">
        <v>56</v>
      </c>
      <c r="S162" s="6">
        <v>120</v>
      </c>
      <c r="T162" s="6">
        <v>12</v>
      </c>
      <c r="U162" s="6">
        <v>16</v>
      </c>
      <c r="V162" s="6">
        <v>22</v>
      </c>
      <c r="W162" s="6">
        <v>21</v>
      </c>
      <c r="X162" s="6">
        <v>40</v>
      </c>
      <c r="Y162" s="6">
        <v>70</v>
      </c>
      <c r="Z162" s="6">
        <v>63</v>
      </c>
      <c r="AA162" s="6">
        <v>50</v>
      </c>
    </row>
    <row r="163" spans="1:27" s="5" customFormat="1" x14ac:dyDescent="0.2">
      <c r="B163" s="191"/>
      <c r="C163" s="15" t="s">
        <v>3</v>
      </c>
      <c r="D163" s="39">
        <v>4.4000000000000004</v>
      </c>
      <c r="E163" s="39">
        <v>3.2</v>
      </c>
      <c r="F163" s="39">
        <v>1.3</v>
      </c>
      <c r="G163" s="7">
        <v>5.3</v>
      </c>
      <c r="H163" s="7">
        <v>0.9</v>
      </c>
      <c r="I163" s="7">
        <v>1.5</v>
      </c>
      <c r="J163" s="7">
        <v>1.1000000000000001</v>
      </c>
      <c r="K163" s="7">
        <v>0.8</v>
      </c>
      <c r="L163" s="7">
        <v>0.5</v>
      </c>
      <c r="M163" s="7">
        <v>0.9</v>
      </c>
      <c r="N163" s="7">
        <v>1</v>
      </c>
      <c r="O163" s="7">
        <v>0.5</v>
      </c>
      <c r="P163" s="7">
        <v>4.5999999999999996</v>
      </c>
      <c r="Q163" s="7">
        <v>0.6</v>
      </c>
      <c r="R163" s="7">
        <v>1</v>
      </c>
      <c r="S163" s="7">
        <v>2.5</v>
      </c>
      <c r="T163" s="7">
        <v>0.2</v>
      </c>
      <c r="U163" s="7">
        <v>0.3</v>
      </c>
      <c r="V163" s="7">
        <v>0.4</v>
      </c>
      <c r="W163" s="7">
        <v>0.5</v>
      </c>
      <c r="X163" s="7">
        <v>0.9</v>
      </c>
      <c r="Y163" s="7">
        <v>1.4</v>
      </c>
      <c r="Z163" s="7">
        <v>1.3</v>
      </c>
      <c r="AA163" s="7">
        <v>1.2</v>
      </c>
    </row>
    <row r="164" spans="1:27" s="5" customFormat="1" x14ac:dyDescent="0.2">
      <c r="A164" s="5" t="s">
        <v>187</v>
      </c>
      <c r="B164" s="16" t="s">
        <v>180</v>
      </c>
      <c r="C164" s="16" t="s">
        <v>2</v>
      </c>
      <c r="D164" s="40">
        <v>42989620</v>
      </c>
      <c r="E164" s="40">
        <v>4285941</v>
      </c>
      <c r="F164" s="40">
        <v>188335</v>
      </c>
      <c r="G164" s="5">
        <v>9268</v>
      </c>
      <c r="H164" s="5">
        <v>8748</v>
      </c>
      <c r="I164" s="5">
        <v>8656</v>
      </c>
      <c r="J164" s="5">
        <v>8754</v>
      </c>
      <c r="K164" s="5">
        <v>8814</v>
      </c>
      <c r="L164" s="5">
        <v>8432</v>
      </c>
      <c r="M164" s="5">
        <v>9453</v>
      </c>
      <c r="N164" s="5">
        <v>8290</v>
      </c>
      <c r="O164" s="5">
        <v>9606</v>
      </c>
      <c r="P164" s="5">
        <v>8647</v>
      </c>
      <c r="Q164" s="5">
        <v>8864</v>
      </c>
      <c r="R164" s="5">
        <v>10560</v>
      </c>
      <c r="S164" s="5">
        <v>8829</v>
      </c>
      <c r="T164" s="5">
        <v>9611</v>
      </c>
      <c r="U164" s="5">
        <v>9280</v>
      </c>
      <c r="V164" s="5">
        <v>9144</v>
      </c>
      <c r="W164" s="5">
        <v>8703</v>
      </c>
      <c r="X164" s="5">
        <v>8042</v>
      </c>
      <c r="Y164" s="5">
        <v>9411</v>
      </c>
      <c r="Z164" s="5">
        <v>9265</v>
      </c>
      <c r="AA164" s="5">
        <v>7958</v>
      </c>
    </row>
    <row r="165" spans="1:27" s="5" customFormat="1" x14ac:dyDescent="0.2">
      <c r="B165" s="16"/>
      <c r="C165" s="16" t="s">
        <v>3</v>
      </c>
      <c r="D165" s="40">
        <v>100</v>
      </c>
      <c r="E165" s="40">
        <v>100</v>
      </c>
      <c r="F165" s="40">
        <v>100</v>
      </c>
      <c r="G165" s="5">
        <v>100</v>
      </c>
      <c r="H165" s="5">
        <v>100</v>
      </c>
      <c r="I165" s="5">
        <v>100</v>
      </c>
      <c r="J165" s="5">
        <v>100</v>
      </c>
      <c r="K165" s="5">
        <v>100</v>
      </c>
      <c r="L165" s="5">
        <v>100</v>
      </c>
      <c r="M165" s="5">
        <v>100</v>
      </c>
      <c r="N165" s="5">
        <v>100</v>
      </c>
      <c r="O165" s="5">
        <v>100</v>
      </c>
      <c r="P165" s="5">
        <v>100</v>
      </c>
      <c r="Q165" s="5">
        <v>100</v>
      </c>
      <c r="R165" s="5">
        <v>100</v>
      </c>
      <c r="S165" s="5">
        <v>100</v>
      </c>
      <c r="T165" s="5">
        <v>100</v>
      </c>
      <c r="U165" s="5">
        <v>100</v>
      </c>
      <c r="V165" s="5">
        <v>100</v>
      </c>
      <c r="W165" s="5">
        <v>100</v>
      </c>
      <c r="X165" s="5">
        <v>100</v>
      </c>
      <c r="Y165" s="5">
        <v>100</v>
      </c>
      <c r="Z165" s="5">
        <v>100</v>
      </c>
      <c r="AA165" s="5">
        <v>100</v>
      </c>
    </row>
    <row r="166" spans="1:27" s="5" customFormat="1" x14ac:dyDescent="0.2">
      <c r="B166" s="16" t="s">
        <v>181</v>
      </c>
      <c r="C166" s="16" t="s">
        <v>2</v>
      </c>
      <c r="D166" s="40">
        <v>14889928</v>
      </c>
      <c r="E166" s="40">
        <v>1453124</v>
      </c>
      <c r="F166" s="40">
        <v>59269</v>
      </c>
      <c r="G166" s="5">
        <v>3540</v>
      </c>
      <c r="H166" s="5">
        <v>2901</v>
      </c>
      <c r="I166" s="5">
        <v>2553</v>
      </c>
      <c r="J166" s="5">
        <v>2417</v>
      </c>
      <c r="K166" s="5">
        <v>2294</v>
      </c>
      <c r="L166" s="5">
        <v>3029</v>
      </c>
      <c r="M166" s="5">
        <v>3173</v>
      </c>
      <c r="N166" s="5">
        <v>2079</v>
      </c>
      <c r="O166" s="5">
        <v>3095</v>
      </c>
      <c r="P166" s="5">
        <v>3551</v>
      </c>
      <c r="Q166" s="5">
        <v>2745</v>
      </c>
      <c r="R166" s="5">
        <v>3451</v>
      </c>
      <c r="S166" s="5">
        <v>2915</v>
      </c>
      <c r="T166" s="5">
        <v>1984</v>
      </c>
      <c r="U166" s="5">
        <v>2484</v>
      </c>
      <c r="V166" s="5">
        <v>2740</v>
      </c>
      <c r="W166" s="5">
        <v>2622</v>
      </c>
      <c r="X166" s="5">
        <v>2935</v>
      </c>
      <c r="Y166" s="5">
        <v>3181</v>
      </c>
      <c r="Z166" s="5">
        <v>3035</v>
      </c>
      <c r="AA166" s="5">
        <v>2545</v>
      </c>
    </row>
    <row r="167" spans="1:27" s="5" customFormat="1" x14ac:dyDescent="0.2">
      <c r="B167" s="16"/>
      <c r="C167" s="16" t="s">
        <v>3</v>
      </c>
      <c r="D167" s="40">
        <v>34.6</v>
      </c>
      <c r="E167" s="40">
        <v>33.9</v>
      </c>
      <c r="F167" s="40">
        <v>31.5</v>
      </c>
      <c r="G167" s="5">
        <v>38.200000000000003</v>
      </c>
      <c r="H167" s="5">
        <v>33.200000000000003</v>
      </c>
      <c r="I167" s="5">
        <v>29.5</v>
      </c>
      <c r="J167" s="5">
        <v>27.6</v>
      </c>
      <c r="K167" s="5">
        <v>26</v>
      </c>
      <c r="L167" s="5">
        <v>35.9</v>
      </c>
      <c r="M167" s="5">
        <v>33.6</v>
      </c>
      <c r="N167" s="5">
        <v>25.1</v>
      </c>
      <c r="O167" s="5">
        <v>32.200000000000003</v>
      </c>
      <c r="P167" s="5">
        <v>41.1</v>
      </c>
      <c r="Q167" s="5">
        <v>31</v>
      </c>
      <c r="R167" s="5">
        <v>32.700000000000003</v>
      </c>
      <c r="S167" s="5">
        <v>33</v>
      </c>
      <c r="T167" s="5">
        <v>20.6</v>
      </c>
      <c r="U167" s="5">
        <v>26.8</v>
      </c>
      <c r="V167" s="5">
        <v>30</v>
      </c>
      <c r="W167" s="5">
        <v>30.1</v>
      </c>
      <c r="X167" s="5">
        <v>36.5</v>
      </c>
      <c r="Y167" s="5">
        <v>33.799999999999997</v>
      </c>
      <c r="Z167" s="5">
        <v>32.799999999999997</v>
      </c>
      <c r="AA167" s="5">
        <v>32</v>
      </c>
    </row>
    <row r="168" spans="1:27" s="5" customFormat="1" x14ac:dyDescent="0.2">
      <c r="B168" s="16" t="s">
        <v>182</v>
      </c>
      <c r="C168" s="16" t="s">
        <v>2</v>
      </c>
      <c r="D168" s="40">
        <v>20029369</v>
      </c>
      <c r="E168" s="40">
        <v>2005463</v>
      </c>
      <c r="F168" s="40">
        <v>89780</v>
      </c>
      <c r="G168" s="5">
        <v>3767</v>
      </c>
      <c r="H168" s="5">
        <v>4101</v>
      </c>
      <c r="I168" s="5">
        <v>4378</v>
      </c>
      <c r="J168" s="5">
        <v>4611</v>
      </c>
      <c r="K168" s="5">
        <v>4801</v>
      </c>
      <c r="L168" s="5">
        <v>3542</v>
      </c>
      <c r="M168" s="5">
        <v>4358</v>
      </c>
      <c r="N168" s="5">
        <v>4507</v>
      </c>
      <c r="O168" s="5">
        <v>4481</v>
      </c>
      <c r="P168" s="5">
        <v>3085</v>
      </c>
      <c r="Q168" s="5">
        <v>4152</v>
      </c>
      <c r="R168" s="5">
        <v>4909</v>
      </c>
      <c r="S168" s="5">
        <v>4141</v>
      </c>
      <c r="T168" s="5">
        <v>5909</v>
      </c>
      <c r="U168" s="5">
        <v>5075</v>
      </c>
      <c r="V168" s="5">
        <v>4514</v>
      </c>
      <c r="W168" s="5">
        <v>4259</v>
      </c>
      <c r="X168" s="5">
        <v>3199</v>
      </c>
      <c r="Y168" s="5">
        <v>4158</v>
      </c>
      <c r="Z168" s="5">
        <v>4213</v>
      </c>
      <c r="AA168" s="5">
        <v>3620</v>
      </c>
    </row>
    <row r="169" spans="1:27" s="5" customFormat="1" x14ac:dyDescent="0.2">
      <c r="B169" s="16"/>
      <c r="C169" s="16" t="s">
        <v>3</v>
      </c>
      <c r="D169" s="40">
        <v>46.6</v>
      </c>
      <c r="E169" s="40">
        <v>46.8</v>
      </c>
      <c r="F169" s="40">
        <v>47.7</v>
      </c>
      <c r="G169" s="5">
        <v>40.6</v>
      </c>
      <c r="H169" s="5">
        <v>46.9</v>
      </c>
      <c r="I169" s="5">
        <v>50.6</v>
      </c>
      <c r="J169" s="5">
        <v>52.7</v>
      </c>
      <c r="K169" s="5">
        <v>54.5</v>
      </c>
      <c r="L169" s="5">
        <v>42</v>
      </c>
      <c r="M169" s="5">
        <v>46.1</v>
      </c>
      <c r="N169" s="5">
        <v>54.4</v>
      </c>
      <c r="O169" s="5">
        <v>46.6</v>
      </c>
      <c r="P169" s="5">
        <v>35.700000000000003</v>
      </c>
      <c r="Q169" s="5">
        <v>46.8</v>
      </c>
      <c r="R169" s="5">
        <v>46.5</v>
      </c>
      <c r="S169" s="5">
        <v>46.9</v>
      </c>
      <c r="T169" s="5">
        <v>61.5</v>
      </c>
      <c r="U169" s="5">
        <v>54.7</v>
      </c>
      <c r="V169" s="5">
        <v>49.4</v>
      </c>
      <c r="W169" s="5">
        <v>48.9</v>
      </c>
      <c r="X169" s="5">
        <v>39.799999999999997</v>
      </c>
      <c r="Y169" s="5">
        <v>44.2</v>
      </c>
      <c r="Z169" s="5">
        <v>45.5</v>
      </c>
      <c r="AA169" s="5">
        <v>45.5</v>
      </c>
    </row>
    <row r="170" spans="1:27" s="5" customFormat="1" x14ac:dyDescent="0.2">
      <c r="B170" s="16" t="s">
        <v>183</v>
      </c>
      <c r="C170" s="16" t="s">
        <v>2</v>
      </c>
      <c r="D170" s="40">
        <v>100288</v>
      </c>
      <c r="E170" s="40">
        <v>8474</v>
      </c>
      <c r="F170" s="40">
        <v>311</v>
      </c>
      <c r="G170" s="5">
        <v>15</v>
      </c>
      <c r="H170" s="5">
        <v>12</v>
      </c>
      <c r="I170" s="5">
        <v>8</v>
      </c>
      <c r="J170" s="5">
        <v>17</v>
      </c>
      <c r="K170" s="5">
        <v>7</v>
      </c>
      <c r="L170" s="5">
        <v>8</v>
      </c>
      <c r="M170" s="5">
        <v>18</v>
      </c>
      <c r="N170" s="5">
        <v>19</v>
      </c>
      <c r="O170" s="5">
        <v>17</v>
      </c>
      <c r="P170" s="5">
        <v>24</v>
      </c>
      <c r="Q170" s="5">
        <v>14</v>
      </c>
      <c r="R170" s="5">
        <v>26</v>
      </c>
      <c r="S170" s="5">
        <v>15</v>
      </c>
      <c r="T170" s="5">
        <v>16</v>
      </c>
      <c r="U170" s="5">
        <v>14</v>
      </c>
      <c r="V170" s="5">
        <v>3</v>
      </c>
      <c r="W170" s="5">
        <v>10</v>
      </c>
      <c r="X170" s="5">
        <v>14</v>
      </c>
      <c r="Y170" s="5">
        <v>27</v>
      </c>
      <c r="Z170" s="5">
        <v>13</v>
      </c>
      <c r="AA170" s="5">
        <v>14</v>
      </c>
    </row>
    <row r="171" spans="1:27" s="5" customFormat="1" x14ac:dyDescent="0.2">
      <c r="B171" s="16"/>
      <c r="C171" s="16" t="s">
        <v>3</v>
      </c>
      <c r="D171" s="40">
        <v>0.2</v>
      </c>
      <c r="E171" s="40">
        <v>0.2</v>
      </c>
      <c r="F171" s="40">
        <v>0.2</v>
      </c>
      <c r="G171" s="5">
        <v>0.2</v>
      </c>
      <c r="H171" s="5">
        <v>0.1</v>
      </c>
      <c r="I171" s="5">
        <v>0.1</v>
      </c>
      <c r="J171" s="5">
        <v>0.2</v>
      </c>
      <c r="K171" s="5">
        <v>0.1</v>
      </c>
      <c r="L171" s="5">
        <v>0.1</v>
      </c>
      <c r="M171" s="5">
        <v>0.2</v>
      </c>
      <c r="N171" s="5">
        <v>0.2</v>
      </c>
      <c r="O171" s="5">
        <v>0.2</v>
      </c>
      <c r="P171" s="5">
        <v>0.3</v>
      </c>
      <c r="Q171" s="5">
        <v>0.2</v>
      </c>
      <c r="R171" s="5">
        <v>0.2</v>
      </c>
      <c r="S171" s="5">
        <v>0.2</v>
      </c>
      <c r="T171" s="5">
        <v>0.2</v>
      </c>
      <c r="U171" s="5">
        <v>0.2</v>
      </c>
      <c r="V171" s="5">
        <v>0</v>
      </c>
      <c r="W171" s="5">
        <v>0.1</v>
      </c>
      <c r="X171" s="5">
        <v>0.2</v>
      </c>
      <c r="Y171" s="5">
        <v>0.3</v>
      </c>
      <c r="Z171" s="5">
        <v>0.1</v>
      </c>
      <c r="AA171" s="5">
        <v>0.2</v>
      </c>
    </row>
    <row r="172" spans="1:27" s="5" customFormat="1" x14ac:dyDescent="0.2">
      <c r="B172" s="16" t="s">
        <v>184</v>
      </c>
      <c r="C172" s="16" t="s">
        <v>2</v>
      </c>
      <c r="D172" s="40">
        <v>1141196</v>
      </c>
      <c r="E172" s="40">
        <v>110247</v>
      </c>
      <c r="F172" s="40">
        <v>4555</v>
      </c>
      <c r="G172" s="5">
        <v>235</v>
      </c>
      <c r="H172" s="5">
        <v>228</v>
      </c>
      <c r="I172" s="5">
        <v>225</v>
      </c>
      <c r="J172" s="5">
        <v>226</v>
      </c>
      <c r="K172" s="5">
        <v>166</v>
      </c>
      <c r="L172" s="5">
        <v>231</v>
      </c>
      <c r="M172" s="5">
        <v>252</v>
      </c>
      <c r="N172" s="5">
        <v>166</v>
      </c>
      <c r="O172" s="5">
        <v>228</v>
      </c>
      <c r="P172" s="5">
        <v>252</v>
      </c>
      <c r="Q172" s="5">
        <v>200</v>
      </c>
      <c r="R172" s="5">
        <v>269</v>
      </c>
      <c r="S172" s="5">
        <v>226</v>
      </c>
      <c r="T172" s="5">
        <v>166</v>
      </c>
      <c r="U172" s="5">
        <v>225</v>
      </c>
      <c r="V172" s="5">
        <v>220</v>
      </c>
      <c r="W172" s="5">
        <v>188</v>
      </c>
      <c r="X172" s="5">
        <v>209</v>
      </c>
      <c r="Y172" s="5">
        <v>198</v>
      </c>
      <c r="Z172" s="5">
        <v>240</v>
      </c>
      <c r="AA172" s="5">
        <v>205</v>
      </c>
    </row>
    <row r="173" spans="1:27" s="5" customFormat="1" x14ac:dyDescent="0.2">
      <c r="B173" s="16"/>
      <c r="C173" s="16" t="s">
        <v>3</v>
      </c>
      <c r="D173" s="40">
        <v>2.7</v>
      </c>
      <c r="E173" s="40">
        <v>2.6</v>
      </c>
      <c r="F173" s="40">
        <v>2.4</v>
      </c>
      <c r="G173" s="5">
        <v>2.5</v>
      </c>
      <c r="H173" s="5">
        <v>2.6</v>
      </c>
      <c r="I173" s="5">
        <v>2.6</v>
      </c>
      <c r="J173" s="5">
        <v>2.6</v>
      </c>
      <c r="K173" s="5">
        <v>1.9</v>
      </c>
      <c r="L173" s="5">
        <v>2.7</v>
      </c>
      <c r="M173" s="5">
        <v>2.7</v>
      </c>
      <c r="N173" s="5">
        <v>2</v>
      </c>
      <c r="O173" s="5">
        <v>2.4</v>
      </c>
      <c r="P173" s="5">
        <v>2.9</v>
      </c>
      <c r="Q173" s="5">
        <v>2.2999999999999998</v>
      </c>
      <c r="R173" s="5">
        <v>2.5</v>
      </c>
      <c r="S173" s="5">
        <v>2.6</v>
      </c>
      <c r="T173" s="5">
        <v>1.7</v>
      </c>
      <c r="U173" s="5">
        <v>2.4</v>
      </c>
      <c r="V173" s="5">
        <v>2.4</v>
      </c>
      <c r="W173" s="5">
        <v>2.2000000000000002</v>
      </c>
      <c r="X173" s="5">
        <v>2.6</v>
      </c>
      <c r="Y173" s="5">
        <v>2.1</v>
      </c>
      <c r="Z173" s="5">
        <v>2.6</v>
      </c>
      <c r="AA173" s="5">
        <v>2.6</v>
      </c>
    </row>
    <row r="174" spans="1:27" s="5" customFormat="1" x14ac:dyDescent="0.2">
      <c r="B174" s="16" t="s">
        <v>185</v>
      </c>
      <c r="C174" s="16" t="s">
        <v>2</v>
      </c>
      <c r="D174" s="40">
        <v>3857137</v>
      </c>
      <c r="E174" s="40">
        <v>399528</v>
      </c>
      <c r="F174" s="40">
        <v>19798</v>
      </c>
      <c r="G174" s="5">
        <v>1103</v>
      </c>
      <c r="H174" s="5">
        <v>894</v>
      </c>
      <c r="I174" s="5">
        <v>844</v>
      </c>
      <c r="J174" s="5">
        <v>863</v>
      </c>
      <c r="K174" s="5">
        <v>832</v>
      </c>
      <c r="L174" s="5">
        <v>837</v>
      </c>
      <c r="M174" s="5">
        <v>968</v>
      </c>
      <c r="N174" s="5">
        <v>778</v>
      </c>
      <c r="O174" s="5">
        <v>1046</v>
      </c>
      <c r="P174" s="5">
        <v>1133</v>
      </c>
      <c r="Q174" s="5">
        <v>964</v>
      </c>
      <c r="R174" s="5">
        <v>1075</v>
      </c>
      <c r="S174" s="5">
        <v>972</v>
      </c>
      <c r="T174" s="5">
        <v>857</v>
      </c>
      <c r="U174" s="5">
        <v>884</v>
      </c>
      <c r="V174" s="5">
        <v>876</v>
      </c>
      <c r="W174" s="5">
        <v>924</v>
      </c>
      <c r="X174" s="5">
        <v>977</v>
      </c>
      <c r="Y174" s="5">
        <v>1059</v>
      </c>
      <c r="Z174" s="5">
        <v>1022</v>
      </c>
      <c r="AA174" s="5">
        <v>890</v>
      </c>
    </row>
    <row r="175" spans="1:27" s="5" customFormat="1" x14ac:dyDescent="0.2">
      <c r="B175" s="16"/>
      <c r="C175" s="16" t="s">
        <v>3</v>
      </c>
      <c r="D175" s="40">
        <v>9</v>
      </c>
      <c r="E175" s="40">
        <v>9.3000000000000007</v>
      </c>
      <c r="F175" s="40">
        <v>10.5</v>
      </c>
      <c r="G175" s="5">
        <v>11.9</v>
      </c>
      <c r="H175" s="5">
        <v>10.199999999999999</v>
      </c>
      <c r="I175" s="5">
        <v>9.8000000000000007</v>
      </c>
      <c r="J175" s="5">
        <v>9.9</v>
      </c>
      <c r="K175" s="5">
        <v>9.4</v>
      </c>
      <c r="L175" s="5">
        <v>9.9</v>
      </c>
      <c r="M175" s="5">
        <v>10.199999999999999</v>
      </c>
      <c r="N175" s="5">
        <v>9.4</v>
      </c>
      <c r="O175" s="5">
        <v>10.9</v>
      </c>
      <c r="P175" s="5">
        <v>13.1</v>
      </c>
      <c r="Q175" s="5">
        <v>10.9</v>
      </c>
      <c r="R175" s="5">
        <v>10.199999999999999</v>
      </c>
      <c r="S175" s="5">
        <v>11</v>
      </c>
      <c r="T175" s="5">
        <v>8.9</v>
      </c>
      <c r="U175" s="5">
        <v>9.5</v>
      </c>
      <c r="V175" s="5">
        <v>9.6</v>
      </c>
      <c r="W175" s="5">
        <v>10.6</v>
      </c>
      <c r="X175" s="5">
        <v>12.1</v>
      </c>
      <c r="Y175" s="5">
        <v>11.3</v>
      </c>
      <c r="Z175" s="5">
        <v>11</v>
      </c>
      <c r="AA175" s="5">
        <v>11.2</v>
      </c>
    </row>
    <row r="176" spans="1:27" s="5" customFormat="1" x14ac:dyDescent="0.2">
      <c r="B176" s="16" t="s">
        <v>186</v>
      </c>
      <c r="C176" s="16" t="s">
        <v>2</v>
      </c>
      <c r="D176" s="40">
        <v>2971702</v>
      </c>
      <c r="E176" s="40">
        <v>309105</v>
      </c>
      <c r="F176" s="40">
        <v>14622</v>
      </c>
      <c r="G176" s="5">
        <v>608</v>
      </c>
      <c r="H176" s="5">
        <v>612</v>
      </c>
      <c r="I176" s="5">
        <v>648</v>
      </c>
      <c r="J176" s="5">
        <v>620</v>
      </c>
      <c r="K176" s="5">
        <v>714</v>
      </c>
      <c r="L176" s="5">
        <v>785</v>
      </c>
      <c r="M176" s="5">
        <v>684</v>
      </c>
      <c r="N176" s="5">
        <v>741</v>
      </c>
      <c r="O176" s="5">
        <v>739</v>
      </c>
      <c r="P176" s="5">
        <v>602</v>
      </c>
      <c r="Q176" s="5">
        <v>789</v>
      </c>
      <c r="R176" s="5">
        <v>830</v>
      </c>
      <c r="S176" s="5">
        <v>560</v>
      </c>
      <c r="T176" s="5">
        <v>679</v>
      </c>
      <c r="U176" s="5">
        <v>598</v>
      </c>
      <c r="V176" s="5">
        <v>791</v>
      </c>
      <c r="W176" s="5">
        <v>700</v>
      </c>
      <c r="X176" s="5">
        <v>708</v>
      </c>
      <c r="Y176" s="5">
        <v>788</v>
      </c>
      <c r="Z176" s="5">
        <v>742</v>
      </c>
      <c r="AA176" s="5">
        <v>684</v>
      </c>
    </row>
    <row r="177" spans="1:30" s="5" customFormat="1" x14ac:dyDescent="0.2">
      <c r="B177" s="16"/>
      <c r="C177" s="16" t="s">
        <v>3</v>
      </c>
      <c r="D177" s="40">
        <v>6.9</v>
      </c>
      <c r="E177" s="40">
        <v>7.2</v>
      </c>
      <c r="F177" s="40">
        <v>7.8</v>
      </c>
      <c r="G177" s="5">
        <v>6.6</v>
      </c>
      <c r="H177" s="5">
        <v>7</v>
      </c>
      <c r="I177" s="5">
        <v>7.5</v>
      </c>
      <c r="J177" s="5">
        <v>7.1</v>
      </c>
      <c r="K177" s="5">
        <v>8.1</v>
      </c>
      <c r="L177" s="5">
        <v>9.3000000000000007</v>
      </c>
      <c r="M177" s="5">
        <v>7.2</v>
      </c>
      <c r="N177" s="5">
        <v>8.9</v>
      </c>
      <c r="O177" s="5">
        <v>7.7</v>
      </c>
      <c r="P177" s="5">
        <v>7</v>
      </c>
      <c r="Q177" s="5">
        <v>8.9</v>
      </c>
      <c r="R177" s="5">
        <v>7.9</v>
      </c>
      <c r="S177" s="5">
        <v>6.3</v>
      </c>
      <c r="T177" s="5">
        <v>7.1</v>
      </c>
      <c r="U177" s="5">
        <v>6.4</v>
      </c>
      <c r="V177" s="5">
        <v>8.6999999999999993</v>
      </c>
      <c r="W177" s="5">
        <v>8</v>
      </c>
      <c r="X177" s="5">
        <v>8.8000000000000007</v>
      </c>
      <c r="Y177" s="5">
        <v>8.4</v>
      </c>
      <c r="Z177" s="5">
        <v>8</v>
      </c>
      <c r="AA177" s="5">
        <v>8.6</v>
      </c>
    </row>
    <row r="178" spans="1:30" s="5" customFormat="1" x14ac:dyDescent="0.2">
      <c r="A178" s="5" t="s">
        <v>124</v>
      </c>
      <c r="B178" s="190" t="s">
        <v>108</v>
      </c>
      <c r="C178" s="15" t="s">
        <v>2</v>
      </c>
      <c r="D178" s="39">
        <v>53012456</v>
      </c>
      <c r="E178" s="39">
        <v>5283733</v>
      </c>
      <c r="F178" s="39">
        <v>231221</v>
      </c>
      <c r="G178" s="6">
        <v>11115</v>
      </c>
      <c r="H178" s="6">
        <v>10977</v>
      </c>
      <c r="I178" s="6">
        <v>10685</v>
      </c>
      <c r="J178" s="6">
        <v>10676</v>
      </c>
      <c r="K178" s="6">
        <v>10669</v>
      </c>
      <c r="L178" s="6">
        <v>10498</v>
      </c>
      <c r="M178" s="6">
        <v>11889</v>
      </c>
      <c r="N178" s="6">
        <v>9777</v>
      </c>
      <c r="O178" s="6">
        <v>11852</v>
      </c>
      <c r="P178" s="6">
        <v>10680</v>
      </c>
      <c r="Q178" s="6">
        <v>10785</v>
      </c>
      <c r="R178" s="6">
        <v>13189</v>
      </c>
      <c r="S178" s="6">
        <v>10811</v>
      </c>
      <c r="T178" s="6">
        <v>11587</v>
      </c>
      <c r="U178" s="6">
        <v>11322</v>
      </c>
      <c r="V178" s="6">
        <v>11062</v>
      </c>
      <c r="W178" s="6">
        <v>10728</v>
      </c>
      <c r="X178" s="6">
        <v>10250</v>
      </c>
      <c r="Y178" s="6">
        <v>11510</v>
      </c>
      <c r="Z178" s="6">
        <v>11477</v>
      </c>
      <c r="AA178" s="6">
        <v>9682</v>
      </c>
      <c r="AB178" s="9"/>
      <c r="AC178" s="9"/>
      <c r="AD178" s="9"/>
    </row>
    <row r="179" spans="1:30" s="5" customFormat="1" x14ac:dyDescent="0.2">
      <c r="B179" s="191"/>
      <c r="C179" s="15" t="s">
        <v>3</v>
      </c>
      <c r="D179" s="39">
        <v>100</v>
      </c>
      <c r="E179" s="39">
        <v>100</v>
      </c>
      <c r="F179" s="39">
        <v>100</v>
      </c>
      <c r="G179" s="7">
        <v>100</v>
      </c>
      <c r="H179" s="7">
        <v>100</v>
      </c>
      <c r="I179" s="7">
        <v>100</v>
      </c>
      <c r="J179" s="7">
        <v>100</v>
      </c>
      <c r="K179" s="7">
        <v>100</v>
      </c>
      <c r="L179" s="7">
        <v>100</v>
      </c>
      <c r="M179" s="7">
        <v>100</v>
      </c>
      <c r="N179" s="7">
        <v>100</v>
      </c>
      <c r="O179" s="7">
        <v>100</v>
      </c>
      <c r="P179" s="7">
        <v>100</v>
      </c>
      <c r="Q179" s="7">
        <v>100</v>
      </c>
      <c r="R179" s="7">
        <v>100</v>
      </c>
      <c r="S179" s="7">
        <v>100</v>
      </c>
      <c r="T179" s="7">
        <v>100</v>
      </c>
      <c r="U179" s="7">
        <v>100</v>
      </c>
      <c r="V179" s="7">
        <v>100</v>
      </c>
      <c r="W179" s="7">
        <v>100</v>
      </c>
      <c r="X179" s="7">
        <v>100</v>
      </c>
      <c r="Y179" s="7">
        <v>100</v>
      </c>
      <c r="Z179" s="7">
        <v>100</v>
      </c>
      <c r="AA179" s="7">
        <v>100</v>
      </c>
      <c r="AB179" s="6"/>
      <c r="AC179" s="6"/>
      <c r="AD179" s="6"/>
    </row>
    <row r="180" spans="1:30" s="5" customFormat="1" x14ac:dyDescent="0.2">
      <c r="B180" s="190" t="s">
        <v>109</v>
      </c>
      <c r="C180" s="15" t="s">
        <v>2</v>
      </c>
      <c r="D180" s="39">
        <v>4405394</v>
      </c>
      <c r="E180" s="39">
        <v>478358</v>
      </c>
      <c r="F180" s="39">
        <v>29147</v>
      </c>
      <c r="G180" s="6">
        <v>1232</v>
      </c>
      <c r="H180" s="6">
        <v>1364</v>
      </c>
      <c r="I180" s="6">
        <v>1298</v>
      </c>
      <c r="J180" s="6">
        <v>1156</v>
      </c>
      <c r="K180" s="6">
        <v>1142</v>
      </c>
      <c r="L180" s="6">
        <v>1890</v>
      </c>
      <c r="M180" s="6">
        <v>1700</v>
      </c>
      <c r="N180" s="6">
        <v>1163</v>
      </c>
      <c r="O180" s="6">
        <v>1380</v>
      </c>
      <c r="P180" s="6">
        <v>1228</v>
      </c>
      <c r="Q180" s="6">
        <v>1707</v>
      </c>
      <c r="R180" s="6">
        <v>2037</v>
      </c>
      <c r="S180" s="6">
        <v>1060</v>
      </c>
      <c r="T180" s="6">
        <v>952</v>
      </c>
      <c r="U180" s="6">
        <v>824</v>
      </c>
      <c r="V180" s="6">
        <v>1418</v>
      </c>
      <c r="W180" s="6">
        <v>1365</v>
      </c>
      <c r="X180" s="6">
        <v>1592</v>
      </c>
      <c r="Y180" s="6">
        <v>1646</v>
      </c>
      <c r="Z180" s="6">
        <v>1513</v>
      </c>
      <c r="AA180" s="6">
        <v>1480</v>
      </c>
      <c r="AB180" s="7"/>
      <c r="AC180" s="7"/>
      <c r="AD180" s="7"/>
    </row>
    <row r="181" spans="1:30" s="5" customFormat="1" x14ac:dyDescent="0.2">
      <c r="B181" s="191"/>
      <c r="C181" s="15" t="s">
        <v>3</v>
      </c>
      <c r="D181" s="39">
        <v>8.3000000000000007</v>
      </c>
      <c r="E181" s="39">
        <v>9.1</v>
      </c>
      <c r="F181" s="39">
        <v>12.6</v>
      </c>
      <c r="G181" s="7">
        <v>11.1</v>
      </c>
      <c r="H181" s="7">
        <v>12.4</v>
      </c>
      <c r="I181" s="7">
        <v>12.1</v>
      </c>
      <c r="J181" s="7">
        <v>10.8</v>
      </c>
      <c r="K181" s="7">
        <v>10.7</v>
      </c>
      <c r="L181" s="7">
        <v>18</v>
      </c>
      <c r="M181" s="7">
        <v>14.3</v>
      </c>
      <c r="N181" s="7">
        <v>11.9</v>
      </c>
      <c r="O181" s="7">
        <v>11.6</v>
      </c>
      <c r="P181" s="7">
        <v>11.5</v>
      </c>
      <c r="Q181" s="7">
        <v>15.8</v>
      </c>
      <c r="R181" s="7">
        <v>15.4</v>
      </c>
      <c r="S181" s="7">
        <v>9.8000000000000007</v>
      </c>
      <c r="T181" s="7">
        <v>8.1999999999999993</v>
      </c>
      <c r="U181" s="7">
        <v>7.3</v>
      </c>
      <c r="V181" s="7">
        <v>12.8</v>
      </c>
      <c r="W181" s="7">
        <v>12.7</v>
      </c>
      <c r="X181" s="7">
        <v>15.5</v>
      </c>
      <c r="Y181" s="7">
        <v>14.3</v>
      </c>
      <c r="Z181" s="7">
        <v>13.2</v>
      </c>
      <c r="AA181" s="7">
        <v>15.3</v>
      </c>
      <c r="AB181" s="6"/>
      <c r="AC181" s="6"/>
      <c r="AD181" s="6"/>
    </row>
    <row r="182" spans="1:30" s="5" customFormat="1" x14ac:dyDescent="0.2">
      <c r="B182" s="190" t="s">
        <v>110</v>
      </c>
      <c r="C182" s="15" t="s">
        <v>2</v>
      </c>
      <c r="D182" s="39">
        <v>4947192</v>
      </c>
      <c r="E182" s="39">
        <v>515291</v>
      </c>
      <c r="F182" s="39">
        <v>26121</v>
      </c>
      <c r="G182" s="6">
        <v>1118</v>
      </c>
      <c r="H182" s="6">
        <v>1196</v>
      </c>
      <c r="I182" s="6">
        <v>1216</v>
      </c>
      <c r="J182" s="6">
        <v>1161</v>
      </c>
      <c r="K182" s="6">
        <v>1185</v>
      </c>
      <c r="L182" s="6">
        <v>1427</v>
      </c>
      <c r="M182" s="6">
        <v>1346</v>
      </c>
      <c r="N182" s="6">
        <v>1155</v>
      </c>
      <c r="O182" s="6">
        <v>1319</v>
      </c>
      <c r="P182" s="6">
        <v>1132</v>
      </c>
      <c r="Q182" s="6">
        <v>1334</v>
      </c>
      <c r="R182" s="6">
        <v>1455</v>
      </c>
      <c r="S182" s="6">
        <v>1168</v>
      </c>
      <c r="T182" s="6">
        <v>1123</v>
      </c>
      <c r="U182" s="6">
        <v>1142</v>
      </c>
      <c r="V182" s="6">
        <v>1284</v>
      </c>
      <c r="W182" s="6">
        <v>1243</v>
      </c>
      <c r="X182" s="6">
        <v>1170</v>
      </c>
      <c r="Y182" s="6">
        <v>1471</v>
      </c>
      <c r="Z182" s="6">
        <v>1267</v>
      </c>
      <c r="AA182" s="6">
        <v>1209</v>
      </c>
      <c r="AB182" s="7"/>
      <c r="AC182" s="7"/>
      <c r="AD182" s="7"/>
    </row>
    <row r="183" spans="1:30" s="5" customFormat="1" x14ac:dyDescent="0.2">
      <c r="B183" s="191"/>
      <c r="C183" s="15" t="s">
        <v>3</v>
      </c>
      <c r="D183" s="39">
        <v>9.3000000000000007</v>
      </c>
      <c r="E183" s="39">
        <v>9.8000000000000007</v>
      </c>
      <c r="F183" s="39">
        <v>11.3</v>
      </c>
      <c r="G183" s="7">
        <v>10.1</v>
      </c>
      <c r="H183" s="7">
        <v>10.9</v>
      </c>
      <c r="I183" s="7">
        <v>11.4</v>
      </c>
      <c r="J183" s="7">
        <v>10.9</v>
      </c>
      <c r="K183" s="7">
        <v>11.1</v>
      </c>
      <c r="L183" s="7">
        <v>13.6</v>
      </c>
      <c r="M183" s="7">
        <v>11.3</v>
      </c>
      <c r="N183" s="7">
        <v>11.8</v>
      </c>
      <c r="O183" s="7">
        <v>11.1</v>
      </c>
      <c r="P183" s="7">
        <v>10.6</v>
      </c>
      <c r="Q183" s="7">
        <v>12.4</v>
      </c>
      <c r="R183" s="7">
        <v>11</v>
      </c>
      <c r="S183" s="7">
        <v>10.8</v>
      </c>
      <c r="T183" s="7">
        <v>9.6999999999999993</v>
      </c>
      <c r="U183" s="7">
        <v>10.1</v>
      </c>
      <c r="V183" s="7">
        <v>11.6</v>
      </c>
      <c r="W183" s="7">
        <v>11.6</v>
      </c>
      <c r="X183" s="7">
        <v>11.4</v>
      </c>
      <c r="Y183" s="7">
        <v>12.8</v>
      </c>
      <c r="Z183" s="7">
        <v>11</v>
      </c>
      <c r="AA183" s="7">
        <v>12.5</v>
      </c>
      <c r="AB183" s="6"/>
      <c r="AC183" s="6"/>
      <c r="AD183" s="6"/>
    </row>
    <row r="184" spans="1:30" s="5" customFormat="1" x14ac:dyDescent="0.2">
      <c r="B184" s="190" t="s">
        <v>111</v>
      </c>
      <c r="C184" s="15" t="s">
        <v>2</v>
      </c>
      <c r="D184" s="39">
        <v>43659870</v>
      </c>
      <c r="E184" s="39">
        <v>4290084</v>
      </c>
      <c r="F184" s="39">
        <v>175953</v>
      </c>
      <c r="G184" s="6">
        <v>8765</v>
      </c>
      <c r="H184" s="6">
        <v>8417</v>
      </c>
      <c r="I184" s="6">
        <v>8171</v>
      </c>
      <c r="J184" s="6">
        <v>8359</v>
      </c>
      <c r="K184" s="6">
        <v>8342</v>
      </c>
      <c r="L184" s="6">
        <v>7181</v>
      </c>
      <c r="M184" s="6">
        <v>8843</v>
      </c>
      <c r="N184" s="6">
        <v>7459</v>
      </c>
      <c r="O184" s="6">
        <v>9153</v>
      </c>
      <c r="P184" s="6">
        <v>8320</v>
      </c>
      <c r="Q184" s="6">
        <v>7744</v>
      </c>
      <c r="R184" s="6">
        <v>9697</v>
      </c>
      <c r="S184" s="6">
        <v>8583</v>
      </c>
      <c r="T184" s="6">
        <v>9512</v>
      </c>
      <c r="U184" s="6">
        <v>9356</v>
      </c>
      <c r="V184" s="6">
        <v>8360</v>
      </c>
      <c r="W184" s="6">
        <v>8120</v>
      </c>
      <c r="X184" s="6">
        <v>7488</v>
      </c>
      <c r="Y184" s="6">
        <v>8393</v>
      </c>
      <c r="Z184" s="6">
        <v>8697</v>
      </c>
      <c r="AA184" s="6">
        <v>6993</v>
      </c>
      <c r="AB184" s="7"/>
      <c r="AC184" s="7"/>
      <c r="AD184" s="7"/>
    </row>
    <row r="185" spans="1:30" s="5" customFormat="1" x14ac:dyDescent="0.2">
      <c r="B185" s="191"/>
      <c r="C185" s="15" t="s">
        <v>3</v>
      </c>
      <c r="D185" s="39">
        <v>82.4</v>
      </c>
      <c r="E185" s="39">
        <v>81.2</v>
      </c>
      <c r="F185" s="39">
        <v>76.099999999999994</v>
      </c>
      <c r="G185" s="7">
        <v>78.900000000000006</v>
      </c>
      <c r="H185" s="7">
        <v>76.7</v>
      </c>
      <c r="I185" s="7">
        <v>76.5</v>
      </c>
      <c r="J185" s="7">
        <v>78.3</v>
      </c>
      <c r="K185" s="7">
        <v>78.2</v>
      </c>
      <c r="L185" s="7">
        <v>68.400000000000006</v>
      </c>
      <c r="M185" s="7">
        <v>74.400000000000006</v>
      </c>
      <c r="N185" s="7">
        <v>76.3</v>
      </c>
      <c r="O185" s="7">
        <v>77.2</v>
      </c>
      <c r="P185" s="7">
        <v>77.900000000000006</v>
      </c>
      <c r="Q185" s="7">
        <v>71.8</v>
      </c>
      <c r="R185" s="7">
        <v>73.5</v>
      </c>
      <c r="S185" s="7">
        <v>79.400000000000006</v>
      </c>
      <c r="T185" s="7">
        <v>82.1</v>
      </c>
      <c r="U185" s="7">
        <v>82.6</v>
      </c>
      <c r="V185" s="7">
        <v>75.599999999999994</v>
      </c>
      <c r="W185" s="7">
        <v>75.7</v>
      </c>
      <c r="X185" s="7">
        <v>73.099999999999994</v>
      </c>
      <c r="Y185" s="7">
        <v>72.900000000000006</v>
      </c>
      <c r="Z185" s="7">
        <v>75.8</v>
      </c>
      <c r="AA185" s="7">
        <v>72.2</v>
      </c>
      <c r="AB185" s="6"/>
      <c r="AC185" s="6"/>
      <c r="AD185" s="6"/>
    </row>
    <row r="186" spans="1:30" s="5" customFormat="1" x14ac:dyDescent="0.2">
      <c r="B186" s="190" t="s">
        <v>112</v>
      </c>
      <c r="C186" s="15" t="s">
        <v>2</v>
      </c>
      <c r="D186" s="39">
        <v>1924080</v>
      </c>
      <c r="E186" s="39">
        <v>211198</v>
      </c>
      <c r="F186" s="39">
        <v>13748</v>
      </c>
      <c r="G186" s="6">
        <v>602</v>
      </c>
      <c r="H186" s="6">
        <v>643</v>
      </c>
      <c r="I186" s="6">
        <v>603</v>
      </c>
      <c r="J186" s="6">
        <v>505</v>
      </c>
      <c r="K186" s="6">
        <v>445</v>
      </c>
      <c r="L186" s="6">
        <v>968</v>
      </c>
      <c r="M186" s="6">
        <v>912</v>
      </c>
      <c r="N186" s="6">
        <v>410</v>
      </c>
      <c r="O186" s="6">
        <v>657</v>
      </c>
      <c r="P186" s="6">
        <v>659</v>
      </c>
      <c r="Q186" s="6">
        <v>841</v>
      </c>
      <c r="R186" s="6">
        <v>1013</v>
      </c>
      <c r="S186" s="6">
        <v>496</v>
      </c>
      <c r="T186" s="6">
        <v>385</v>
      </c>
      <c r="U186" s="6">
        <v>355</v>
      </c>
      <c r="V186" s="6">
        <v>588</v>
      </c>
      <c r="W186" s="6">
        <v>622</v>
      </c>
      <c r="X186" s="6">
        <v>832</v>
      </c>
      <c r="Y186" s="6">
        <v>828</v>
      </c>
      <c r="Z186" s="6">
        <v>700</v>
      </c>
      <c r="AA186" s="6">
        <v>684</v>
      </c>
      <c r="AB186" s="7"/>
      <c r="AC186" s="7"/>
      <c r="AD186" s="7"/>
    </row>
    <row r="187" spans="1:30" s="5" customFormat="1" x14ac:dyDescent="0.2">
      <c r="B187" s="191"/>
      <c r="C187" s="15" t="s">
        <v>3</v>
      </c>
      <c r="D187" s="39">
        <v>3.6</v>
      </c>
      <c r="E187" s="39">
        <v>4</v>
      </c>
      <c r="F187" s="39">
        <v>5.9</v>
      </c>
      <c r="G187" s="7">
        <v>5.4</v>
      </c>
      <c r="H187" s="7">
        <v>5.9</v>
      </c>
      <c r="I187" s="7">
        <v>5.6</v>
      </c>
      <c r="J187" s="7">
        <v>4.7</v>
      </c>
      <c r="K187" s="7">
        <v>4.2</v>
      </c>
      <c r="L187" s="7">
        <v>9.1999999999999993</v>
      </c>
      <c r="M187" s="7">
        <v>7.7</v>
      </c>
      <c r="N187" s="7">
        <v>4.2</v>
      </c>
      <c r="O187" s="7">
        <v>5.5</v>
      </c>
      <c r="P187" s="7">
        <v>6.2</v>
      </c>
      <c r="Q187" s="7">
        <v>7.8</v>
      </c>
      <c r="R187" s="7">
        <v>7.7</v>
      </c>
      <c r="S187" s="7">
        <v>4.5999999999999996</v>
      </c>
      <c r="T187" s="7">
        <v>3.3</v>
      </c>
      <c r="U187" s="7">
        <v>3.1</v>
      </c>
      <c r="V187" s="7">
        <v>5.3</v>
      </c>
      <c r="W187" s="7">
        <v>5.8</v>
      </c>
      <c r="X187" s="7">
        <v>8.1</v>
      </c>
      <c r="Y187" s="7">
        <v>7.2</v>
      </c>
      <c r="Z187" s="7">
        <v>6.1</v>
      </c>
      <c r="AA187" s="7">
        <v>7.1</v>
      </c>
      <c r="AB187" s="6"/>
      <c r="AC187" s="6"/>
      <c r="AD187" s="6"/>
    </row>
    <row r="188" spans="1:30" s="5" customFormat="1" x14ac:dyDescent="0.2">
      <c r="B188" s="190" t="s">
        <v>113</v>
      </c>
      <c r="C188" s="15" t="s">
        <v>2</v>
      </c>
      <c r="D188" s="39">
        <v>2452742</v>
      </c>
      <c r="E188" s="39">
        <v>257601</v>
      </c>
      <c r="F188" s="39">
        <v>13853</v>
      </c>
      <c r="G188" s="6">
        <v>641</v>
      </c>
      <c r="H188" s="6">
        <v>675</v>
      </c>
      <c r="I188" s="6">
        <v>643</v>
      </c>
      <c r="J188" s="6">
        <v>562</v>
      </c>
      <c r="K188" s="6">
        <v>515</v>
      </c>
      <c r="L188" s="6">
        <v>878</v>
      </c>
      <c r="M188" s="6">
        <v>798</v>
      </c>
      <c r="N188" s="6">
        <v>511</v>
      </c>
      <c r="O188" s="6">
        <v>676</v>
      </c>
      <c r="P188" s="6">
        <v>676</v>
      </c>
      <c r="Q188" s="6">
        <v>687</v>
      </c>
      <c r="R188" s="6">
        <v>851</v>
      </c>
      <c r="S188" s="6">
        <v>600</v>
      </c>
      <c r="T188" s="6">
        <v>464</v>
      </c>
      <c r="U188" s="6">
        <v>541</v>
      </c>
      <c r="V188" s="6">
        <v>592</v>
      </c>
      <c r="W188" s="6">
        <v>685</v>
      </c>
      <c r="X188" s="6">
        <v>706</v>
      </c>
      <c r="Y188" s="6">
        <v>804</v>
      </c>
      <c r="Z188" s="6">
        <v>701</v>
      </c>
      <c r="AA188" s="6">
        <v>647</v>
      </c>
      <c r="AB188" s="7"/>
      <c r="AC188" s="7"/>
      <c r="AD188" s="7"/>
    </row>
    <row r="189" spans="1:30" s="5" customFormat="1" x14ac:dyDescent="0.2">
      <c r="B189" s="191"/>
      <c r="C189" s="15" t="s">
        <v>3</v>
      </c>
      <c r="D189" s="39">
        <v>4.5999999999999996</v>
      </c>
      <c r="E189" s="39">
        <v>4.9000000000000004</v>
      </c>
      <c r="F189" s="39">
        <v>6</v>
      </c>
      <c r="G189" s="7">
        <v>5.8</v>
      </c>
      <c r="H189" s="7">
        <v>6.1</v>
      </c>
      <c r="I189" s="7">
        <v>6</v>
      </c>
      <c r="J189" s="7">
        <v>5.3</v>
      </c>
      <c r="K189" s="7">
        <v>4.8</v>
      </c>
      <c r="L189" s="7">
        <v>8.4</v>
      </c>
      <c r="M189" s="7">
        <v>6.7</v>
      </c>
      <c r="N189" s="7">
        <v>5.2</v>
      </c>
      <c r="O189" s="7">
        <v>5.7</v>
      </c>
      <c r="P189" s="7">
        <v>6.3</v>
      </c>
      <c r="Q189" s="7">
        <v>6.4</v>
      </c>
      <c r="R189" s="7">
        <v>6.5</v>
      </c>
      <c r="S189" s="7">
        <v>5.5</v>
      </c>
      <c r="T189" s="7">
        <v>4</v>
      </c>
      <c r="U189" s="7">
        <v>4.8</v>
      </c>
      <c r="V189" s="7">
        <v>5.4</v>
      </c>
      <c r="W189" s="7">
        <v>6.4</v>
      </c>
      <c r="X189" s="7">
        <v>6.9</v>
      </c>
      <c r="Y189" s="7">
        <v>7</v>
      </c>
      <c r="Z189" s="7">
        <v>6.1</v>
      </c>
      <c r="AA189" s="7">
        <v>6.7</v>
      </c>
      <c r="AB189" s="6"/>
      <c r="AC189" s="6"/>
      <c r="AD189" s="6"/>
    </row>
    <row r="190" spans="1:30" s="5" customFormat="1" x14ac:dyDescent="0.2">
      <c r="B190" s="190" t="s">
        <v>114</v>
      </c>
      <c r="C190" s="15" t="s">
        <v>2</v>
      </c>
      <c r="D190" s="39">
        <v>29952269</v>
      </c>
      <c r="E190" s="39">
        <v>2942571</v>
      </c>
      <c r="F190" s="39">
        <v>120724</v>
      </c>
      <c r="G190" s="6">
        <v>6393</v>
      </c>
      <c r="H190" s="6">
        <v>5786</v>
      </c>
      <c r="I190" s="6">
        <v>5528</v>
      </c>
      <c r="J190" s="6">
        <v>5796</v>
      </c>
      <c r="K190" s="6">
        <v>5694</v>
      </c>
      <c r="L190" s="6">
        <v>4809</v>
      </c>
      <c r="M190" s="6">
        <v>6116</v>
      </c>
      <c r="N190" s="6">
        <v>5112</v>
      </c>
      <c r="O190" s="6">
        <v>6343</v>
      </c>
      <c r="P190" s="6">
        <v>5880</v>
      </c>
      <c r="Q190" s="6">
        <v>5218</v>
      </c>
      <c r="R190" s="6">
        <v>6619</v>
      </c>
      <c r="S190" s="6">
        <v>6077</v>
      </c>
      <c r="T190" s="6">
        <v>6346</v>
      </c>
      <c r="U190" s="6">
        <v>6487</v>
      </c>
      <c r="V190" s="6">
        <v>5665</v>
      </c>
      <c r="W190" s="6">
        <v>5553</v>
      </c>
      <c r="X190" s="6">
        <v>4982</v>
      </c>
      <c r="Y190" s="6">
        <v>5704</v>
      </c>
      <c r="Z190" s="6">
        <v>5915</v>
      </c>
      <c r="AA190" s="6">
        <v>4701</v>
      </c>
      <c r="AB190" s="7"/>
      <c r="AC190" s="7"/>
      <c r="AD190" s="7"/>
    </row>
    <row r="191" spans="1:30" s="5" customFormat="1" x14ac:dyDescent="0.2">
      <c r="B191" s="191"/>
      <c r="C191" s="15" t="s">
        <v>3</v>
      </c>
      <c r="D191" s="39">
        <v>56.5</v>
      </c>
      <c r="E191" s="39">
        <v>55.7</v>
      </c>
      <c r="F191" s="39">
        <v>52.2</v>
      </c>
      <c r="G191" s="7">
        <v>57.5</v>
      </c>
      <c r="H191" s="7">
        <v>52.7</v>
      </c>
      <c r="I191" s="7">
        <v>51.7</v>
      </c>
      <c r="J191" s="7">
        <v>54.3</v>
      </c>
      <c r="K191" s="7">
        <v>53.4</v>
      </c>
      <c r="L191" s="7">
        <v>45.8</v>
      </c>
      <c r="M191" s="7">
        <v>51.4</v>
      </c>
      <c r="N191" s="7">
        <v>52.3</v>
      </c>
      <c r="O191" s="7">
        <v>53.5</v>
      </c>
      <c r="P191" s="7">
        <v>55.1</v>
      </c>
      <c r="Q191" s="7">
        <v>48.4</v>
      </c>
      <c r="R191" s="7">
        <v>50.2</v>
      </c>
      <c r="S191" s="7">
        <v>56.2</v>
      </c>
      <c r="T191" s="7">
        <v>54.8</v>
      </c>
      <c r="U191" s="7">
        <v>57.3</v>
      </c>
      <c r="V191" s="7">
        <v>51.2</v>
      </c>
      <c r="W191" s="7">
        <v>51.8</v>
      </c>
      <c r="X191" s="7">
        <v>48.6</v>
      </c>
      <c r="Y191" s="7">
        <v>49.6</v>
      </c>
      <c r="Z191" s="7">
        <v>51.5</v>
      </c>
      <c r="AA191" s="7">
        <v>48.6</v>
      </c>
      <c r="AB191" s="6"/>
      <c r="AC191" s="6"/>
      <c r="AD191" s="6"/>
    </row>
    <row r="192" spans="1:30" s="5" customFormat="1" x14ac:dyDescent="0.2">
      <c r="B192" s="190" t="s">
        <v>115</v>
      </c>
      <c r="C192" s="15" t="s">
        <v>2</v>
      </c>
      <c r="D192" s="39">
        <v>25005712</v>
      </c>
      <c r="E192" s="39">
        <v>2407907</v>
      </c>
      <c r="F192" s="39">
        <v>96194</v>
      </c>
      <c r="G192" s="6">
        <v>4653</v>
      </c>
      <c r="H192" s="6">
        <v>4708</v>
      </c>
      <c r="I192" s="6">
        <v>4397</v>
      </c>
      <c r="J192" s="6">
        <v>4657</v>
      </c>
      <c r="K192" s="6">
        <v>4672</v>
      </c>
      <c r="L192" s="6">
        <v>3657</v>
      </c>
      <c r="M192" s="6">
        <v>4698</v>
      </c>
      <c r="N192" s="6">
        <v>4010</v>
      </c>
      <c r="O192" s="6">
        <v>5051</v>
      </c>
      <c r="P192" s="6">
        <v>4431</v>
      </c>
      <c r="Q192" s="6">
        <v>4068</v>
      </c>
      <c r="R192" s="6">
        <v>5375</v>
      </c>
      <c r="S192" s="6">
        <v>4928</v>
      </c>
      <c r="T192" s="6">
        <v>5570</v>
      </c>
      <c r="U192" s="6">
        <v>5432</v>
      </c>
      <c r="V192" s="6">
        <v>4579</v>
      </c>
      <c r="W192" s="6">
        <v>4431</v>
      </c>
      <c r="X192" s="6">
        <v>3874</v>
      </c>
      <c r="Y192" s="6">
        <v>4511</v>
      </c>
      <c r="Z192" s="6">
        <v>4760</v>
      </c>
      <c r="AA192" s="6">
        <v>3732</v>
      </c>
      <c r="AB192" s="7"/>
      <c r="AC192" s="7"/>
      <c r="AD192" s="7"/>
    </row>
    <row r="193" spans="2:30" s="5" customFormat="1" x14ac:dyDescent="0.2">
      <c r="B193" s="191"/>
      <c r="C193" s="15" t="s">
        <v>3</v>
      </c>
      <c r="D193" s="39">
        <v>47.2</v>
      </c>
      <c r="E193" s="39">
        <v>45.6</v>
      </c>
      <c r="F193" s="39">
        <v>41.6</v>
      </c>
      <c r="G193" s="7">
        <v>41.9</v>
      </c>
      <c r="H193" s="7">
        <v>42.9</v>
      </c>
      <c r="I193" s="7">
        <v>41.2</v>
      </c>
      <c r="J193" s="7">
        <v>43.6</v>
      </c>
      <c r="K193" s="7">
        <v>43.8</v>
      </c>
      <c r="L193" s="7">
        <v>34.799999999999997</v>
      </c>
      <c r="M193" s="7">
        <v>39.5</v>
      </c>
      <c r="N193" s="7">
        <v>41</v>
      </c>
      <c r="O193" s="7">
        <v>42.6</v>
      </c>
      <c r="P193" s="7">
        <v>41.5</v>
      </c>
      <c r="Q193" s="7">
        <v>37.700000000000003</v>
      </c>
      <c r="R193" s="7">
        <v>40.799999999999997</v>
      </c>
      <c r="S193" s="7">
        <v>45.6</v>
      </c>
      <c r="T193" s="7">
        <v>48.1</v>
      </c>
      <c r="U193" s="7">
        <v>48</v>
      </c>
      <c r="V193" s="7">
        <v>41.4</v>
      </c>
      <c r="W193" s="7">
        <v>41.3</v>
      </c>
      <c r="X193" s="7">
        <v>37.799999999999997</v>
      </c>
      <c r="Y193" s="7">
        <v>39.200000000000003</v>
      </c>
      <c r="Z193" s="7">
        <v>41.5</v>
      </c>
      <c r="AA193" s="7">
        <v>38.5</v>
      </c>
      <c r="AB193" s="6"/>
      <c r="AC193" s="6"/>
      <c r="AD193" s="6"/>
    </row>
    <row r="194" spans="2:30" s="5" customFormat="1" x14ac:dyDescent="0.2">
      <c r="B194" s="190" t="s">
        <v>116</v>
      </c>
      <c r="C194" s="15" t="s">
        <v>2</v>
      </c>
      <c r="D194" s="39">
        <v>18141457</v>
      </c>
      <c r="E194" s="39">
        <v>1817231</v>
      </c>
      <c r="F194" s="39">
        <v>77649</v>
      </c>
      <c r="G194" s="6">
        <v>3922</v>
      </c>
      <c r="H194" s="6">
        <v>3652</v>
      </c>
      <c r="I194" s="6">
        <v>3663</v>
      </c>
      <c r="J194" s="6">
        <v>3643</v>
      </c>
      <c r="K194" s="6">
        <v>3617</v>
      </c>
      <c r="L194" s="6">
        <v>3290</v>
      </c>
      <c r="M194" s="6">
        <v>3953</v>
      </c>
      <c r="N194" s="6">
        <v>3474</v>
      </c>
      <c r="O194" s="6">
        <v>3953</v>
      </c>
      <c r="P194" s="6">
        <v>3755</v>
      </c>
      <c r="Q194" s="6">
        <v>3589</v>
      </c>
      <c r="R194" s="6">
        <v>4165</v>
      </c>
      <c r="S194" s="6">
        <v>3656</v>
      </c>
      <c r="T194" s="6">
        <v>3950</v>
      </c>
      <c r="U194" s="6">
        <v>3819</v>
      </c>
      <c r="V194" s="6">
        <v>3700</v>
      </c>
      <c r="W194" s="6">
        <v>3606</v>
      </c>
      <c r="X194" s="6">
        <v>3466</v>
      </c>
      <c r="Y194" s="6">
        <v>3744</v>
      </c>
      <c r="Z194" s="6">
        <v>3857</v>
      </c>
      <c r="AA194" s="6">
        <v>3175</v>
      </c>
      <c r="AB194" s="7"/>
      <c r="AC194" s="7"/>
      <c r="AD194" s="7"/>
    </row>
    <row r="195" spans="2:30" s="5" customFormat="1" x14ac:dyDescent="0.2">
      <c r="B195" s="191"/>
      <c r="C195" s="15" t="s">
        <v>3</v>
      </c>
      <c r="D195" s="39">
        <v>34.200000000000003</v>
      </c>
      <c r="E195" s="39">
        <v>34.4</v>
      </c>
      <c r="F195" s="39">
        <v>33.6</v>
      </c>
      <c r="G195" s="7">
        <v>35.299999999999997</v>
      </c>
      <c r="H195" s="7">
        <v>33.299999999999997</v>
      </c>
      <c r="I195" s="7">
        <v>34.299999999999997</v>
      </c>
      <c r="J195" s="7">
        <v>34.1</v>
      </c>
      <c r="K195" s="7">
        <v>33.9</v>
      </c>
      <c r="L195" s="7">
        <v>31.3</v>
      </c>
      <c r="M195" s="7">
        <v>33.200000000000003</v>
      </c>
      <c r="N195" s="7">
        <v>35.5</v>
      </c>
      <c r="O195" s="7">
        <v>33.4</v>
      </c>
      <c r="P195" s="7">
        <v>35.200000000000003</v>
      </c>
      <c r="Q195" s="7">
        <v>33.299999999999997</v>
      </c>
      <c r="R195" s="7">
        <v>31.6</v>
      </c>
      <c r="S195" s="7">
        <v>33.799999999999997</v>
      </c>
      <c r="T195" s="7">
        <v>34.1</v>
      </c>
      <c r="U195" s="7">
        <v>33.700000000000003</v>
      </c>
      <c r="V195" s="7">
        <v>33.4</v>
      </c>
      <c r="W195" s="7">
        <v>33.6</v>
      </c>
      <c r="X195" s="7">
        <v>33.799999999999997</v>
      </c>
      <c r="Y195" s="7">
        <v>32.5</v>
      </c>
      <c r="Z195" s="7">
        <v>33.6</v>
      </c>
      <c r="AA195" s="7">
        <v>32.799999999999997</v>
      </c>
      <c r="AB195" s="6"/>
      <c r="AC195" s="6"/>
      <c r="AD195" s="6"/>
    </row>
    <row r="196" spans="2:30" s="5" customFormat="1" x14ac:dyDescent="0.2">
      <c r="B196" s="190" t="s">
        <v>117</v>
      </c>
      <c r="C196" s="15" t="s">
        <v>2</v>
      </c>
      <c r="D196" s="39">
        <v>6954092</v>
      </c>
      <c r="E196" s="39">
        <v>739959</v>
      </c>
      <c r="F196" s="39">
        <v>37956</v>
      </c>
      <c r="G196" s="6">
        <v>1708</v>
      </c>
      <c r="H196" s="6">
        <v>1745</v>
      </c>
      <c r="I196" s="6">
        <v>1765</v>
      </c>
      <c r="J196" s="6">
        <v>1645</v>
      </c>
      <c r="K196" s="6">
        <v>1637</v>
      </c>
      <c r="L196" s="6">
        <v>2186</v>
      </c>
      <c r="M196" s="6">
        <v>2065</v>
      </c>
      <c r="N196" s="6">
        <v>1570</v>
      </c>
      <c r="O196" s="6">
        <v>1926</v>
      </c>
      <c r="P196" s="6">
        <v>1632</v>
      </c>
      <c r="Q196" s="6">
        <v>1976</v>
      </c>
      <c r="R196" s="6">
        <v>2248</v>
      </c>
      <c r="S196" s="6">
        <v>1576</v>
      </c>
      <c r="T196" s="6">
        <v>1485</v>
      </c>
      <c r="U196" s="6">
        <v>1516</v>
      </c>
      <c r="V196" s="6">
        <v>1826</v>
      </c>
      <c r="W196" s="6">
        <v>1818</v>
      </c>
      <c r="X196" s="6">
        <v>1835</v>
      </c>
      <c r="Y196" s="6">
        <v>2146</v>
      </c>
      <c r="Z196" s="6">
        <v>1843</v>
      </c>
      <c r="AA196" s="6">
        <v>1808</v>
      </c>
      <c r="AB196" s="7"/>
      <c r="AC196" s="7"/>
      <c r="AD196" s="7"/>
    </row>
    <row r="197" spans="2:30" s="5" customFormat="1" x14ac:dyDescent="0.2">
      <c r="B197" s="191"/>
      <c r="C197" s="15" t="s">
        <v>3</v>
      </c>
      <c r="D197" s="39">
        <v>13.1</v>
      </c>
      <c r="E197" s="39">
        <v>14</v>
      </c>
      <c r="F197" s="39">
        <v>16.399999999999999</v>
      </c>
      <c r="G197" s="7">
        <v>15.4</v>
      </c>
      <c r="H197" s="7">
        <v>15.9</v>
      </c>
      <c r="I197" s="7">
        <v>16.5</v>
      </c>
      <c r="J197" s="7">
        <v>15.4</v>
      </c>
      <c r="K197" s="7">
        <v>15.3</v>
      </c>
      <c r="L197" s="7">
        <v>20.8</v>
      </c>
      <c r="M197" s="7">
        <v>17.399999999999999</v>
      </c>
      <c r="N197" s="7">
        <v>16.100000000000001</v>
      </c>
      <c r="O197" s="7">
        <v>16.3</v>
      </c>
      <c r="P197" s="7">
        <v>15.3</v>
      </c>
      <c r="Q197" s="7">
        <v>18.3</v>
      </c>
      <c r="R197" s="7">
        <v>17</v>
      </c>
      <c r="S197" s="7">
        <v>14.6</v>
      </c>
      <c r="T197" s="7">
        <v>12.8</v>
      </c>
      <c r="U197" s="7">
        <v>13.4</v>
      </c>
      <c r="V197" s="7">
        <v>16.5</v>
      </c>
      <c r="W197" s="7">
        <v>16.899999999999999</v>
      </c>
      <c r="X197" s="7">
        <v>17.899999999999999</v>
      </c>
      <c r="Y197" s="7">
        <v>18.600000000000001</v>
      </c>
      <c r="Z197" s="7">
        <v>16.100000000000001</v>
      </c>
      <c r="AA197" s="7">
        <v>18.7</v>
      </c>
      <c r="AB197" s="6"/>
      <c r="AC197" s="6"/>
      <c r="AD197" s="6"/>
    </row>
    <row r="198" spans="2:30" s="5" customFormat="1" x14ac:dyDescent="0.2">
      <c r="B198" s="190" t="s">
        <v>118</v>
      </c>
      <c r="C198" s="15" t="s">
        <v>2</v>
      </c>
      <c r="D198" s="39">
        <v>2250446</v>
      </c>
      <c r="E198" s="39">
        <v>247942</v>
      </c>
      <c r="F198" s="39">
        <v>15278</v>
      </c>
      <c r="G198" s="6">
        <v>671</v>
      </c>
      <c r="H198" s="6">
        <v>684</v>
      </c>
      <c r="I198" s="6">
        <v>688</v>
      </c>
      <c r="J198" s="6">
        <v>590</v>
      </c>
      <c r="K198" s="6">
        <v>580</v>
      </c>
      <c r="L198" s="6">
        <v>1070</v>
      </c>
      <c r="M198" s="6">
        <v>921</v>
      </c>
      <c r="N198" s="6">
        <v>581</v>
      </c>
      <c r="O198" s="6">
        <v>732</v>
      </c>
      <c r="P198" s="6">
        <v>690</v>
      </c>
      <c r="Q198" s="6">
        <v>914</v>
      </c>
      <c r="R198" s="6">
        <v>1064</v>
      </c>
      <c r="S198" s="6">
        <v>513</v>
      </c>
      <c r="T198" s="6">
        <v>448</v>
      </c>
      <c r="U198" s="6">
        <v>429</v>
      </c>
      <c r="V198" s="6">
        <v>761</v>
      </c>
      <c r="W198" s="6">
        <v>680</v>
      </c>
      <c r="X198" s="6">
        <v>830</v>
      </c>
      <c r="Y198" s="6">
        <v>890</v>
      </c>
      <c r="Z198" s="6">
        <v>769</v>
      </c>
      <c r="AA198" s="6">
        <v>773</v>
      </c>
      <c r="AB198" s="7"/>
      <c r="AC198" s="7"/>
      <c r="AD198" s="7"/>
    </row>
    <row r="199" spans="2:30" s="5" customFormat="1" x14ac:dyDescent="0.2">
      <c r="B199" s="191"/>
      <c r="C199" s="15" t="s">
        <v>3</v>
      </c>
      <c r="D199" s="39">
        <v>4.2</v>
      </c>
      <c r="E199" s="39">
        <v>4.7</v>
      </c>
      <c r="F199" s="39">
        <v>6.6</v>
      </c>
      <c r="G199" s="7">
        <v>6</v>
      </c>
      <c r="H199" s="7">
        <v>6.2</v>
      </c>
      <c r="I199" s="7">
        <v>6.4</v>
      </c>
      <c r="J199" s="7">
        <v>5.5</v>
      </c>
      <c r="K199" s="7">
        <v>5.4</v>
      </c>
      <c r="L199" s="7">
        <v>10.199999999999999</v>
      </c>
      <c r="M199" s="7">
        <v>7.7</v>
      </c>
      <c r="N199" s="7">
        <v>5.9</v>
      </c>
      <c r="O199" s="7">
        <v>6.2</v>
      </c>
      <c r="P199" s="7">
        <v>6.5</v>
      </c>
      <c r="Q199" s="7">
        <v>8.5</v>
      </c>
      <c r="R199" s="7">
        <v>8.1</v>
      </c>
      <c r="S199" s="7">
        <v>4.7</v>
      </c>
      <c r="T199" s="7">
        <v>3.9</v>
      </c>
      <c r="U199" s="7">
        <v>3.8</v>
      </c>
      <c r="V199" s="7">
        <v>6.9</v>
      </c>
      <c r="W199" s="7">
        <v>6.3</v>
      </c>
      <c r="X199" s="7">
        <v>8.1</v>
      </c>
      <c r="Y199" s="7">
        <v>7.7</v>
      </c>
      <c r="Z199" s="7">
        <v>6.7</v>
      </c>
      <c r="AA199" s="7">
        <v>8</v>
      </c>
      <c r="AB199" s="6"/>
      <c r="AC199" s="6"/>
      <c r="AD199" s="6"/>
    </row>
    <row r="200" spans="2:30" s="5" customFormat="1" x14ac:dyDescent="0.2">
      <c r="B200" s="190" t="s">
        <v>119</v>
      </c>
      <c r="C200" s="15" t="s">
        <v>2</v>
      </c>
      <c r="D200" s="39">
        <v>660749</v>
      </c>
      <c r="E200" s="39">
        <v>70694</v>
      </c>
      <c r="F200" s="39">
        <v>4144</v>
      </c>
      <c r="G200" s="6">
        <v>161</v>
      </c>
      <c r="H200" s="6">
        <v>188</v>
      </c>
      <c r="I200" s="6">
        <v>172</v>
      </c>
      <c r="J200" s="6">
        <v>141</v>
      </c>
      <c r="K200" s="6">
        <v>163</v>
      </c>
      <c r="L200" s="6">
        <v>295</v>
      </c>
      <c r="M200" s="6">
        <v>252</v>
      </c>
      <c r="N200" s="6">
        <v>142</v>
      </c>
      <c r="O200" s="6">
        <v>190</v>
      </c>
      <c r="P200" s="6">
        <v>172</v>
      </c>
      <c r="Q200" s="6">
        <v>238</v>
      </c>
      <c r="R200" s="6">
        <v>337</v>
      </c>
      <c r="S200" s="6">
        <v>138</v>
      </c>
      <c r="T200" s="6">
        <v>134</v>
      </c>
      <c r="U200" s="6">
        <v>126</v>
      </c>
      <c r="V200" s="6">
        <v>196</v>
      </c>
      <c r="W200" s="6">
        <v>193</v>
      </c>
      <c r="X200" s="6">
        <v>245</v>
      </c>
      <c r="Y200" s="6">
        <v>219</v>
      </c>
      <c r="Z200" s="6">
        <v>248</v>
      </c>
      <c r="AA200" s="6">
        <v>194</v>
      </c>
      <c r="AB200" s="7"/>
      <c r="AC200" s="7"/>
      <c r="AD200" s="7"/>
    </row>
    <row r="201" spans="2:30" s="5" customFormat="1" x14ac:dyDescent="0.2">
      <c r="B201" s="191"/>
      <c r="C201" s="15" t="s">
        <v>3</v>
      </c>
      <c r="D201" s="39">
        <v>1.2</v>
      </c>
      <c r="E201" s="39">
        <v>1.3</v>
      </c>
      <c r="F201" s="39">
        <v>1.8</v>
      </c>
      <c r="G201" s="7">
        <v>1.4</v>
      </c>
      <c r="H201" s="7">
        <v>1.7</v>
      </c>
      <c r="I201" s="7">
        <v>1.6</v>
      </c>
      <c r="J201" s="7">
        <v>1.3</v>
      </c>
      <c r="K201" s="7">
        <v>1.5</v>
      </c>
      <c r="L201" s="7">
        <v>2.8</v>
      </c>
      <c r="M201" s="7">
        <v>2.1</v>
      </c>
      <c r="N201" s="7">
        <v>1.5</v>
      </c>
      <c r="O201" s="7">
        <v>1.6</v>
      </c>
      <c r="P201" s="7">
        <v>1.6</v>
      </c>
      <c r="Q201" s="7">
        <v>2.2000000000000002</v>
      </c>
      <c r="R201" s="7">
        <v>2.6</v>
      </c>
      <c r="S201" s="7">
        <v>1.3</v>
      </c>
      <c r="T201" s="7">
        <v>1.2</v>
      </c>
      <c r="U201" s="7">
        <v>1.1000000000000001</v>
      </c>
      <c r="V201" s="7">
        <v>1.8</v>
      </c>
      <c r="W201" s="7">
        <v>1.8</v>
      </c>
      <c r="X201" s="7">
        <v>2.4</v>
      </c>
      <c r="Y201" s="7">
        <v>1.9</v>
      </c>
      <c r="Z201" s="7">
        <v>2.2000000000000002</v>
      </c>
      <c r="AA201" s="7">
        <v>2</v>
      </c>
      <c r="AB201" s="6"/>
      <c r="AC201" s="6"/>
      <c r="AD201" s="6"/>
    </row>
    <row r="202" spans="2:30" s="5" customFormat="1" x14ac:dyDescent="0.2">
      <c r="B202" s="190" t="s">
        <v>120</v>
      </c>
      <c r="C202" s="15" t="s">
        <v>2</v>
      </c>
      <c r="D202" s="39">
        <v>47582440</v>
      </c>
      <c r="E202" s="39">
        <v>4732392</v>
      </c>
      <c r="F202" s="39">
        <v>204054</v>
      </c>
      <c r="G202" s="6">
        <v>9953</v>
      </c>
      <c r="H202" s="6">
        <v>9737</v>
      </c>
      <c r="I202" s="6">
        <v>9424</v>
      </c>
      <c r="J202" s="6">
        <v>9437</v>
      </c>
      <c r="K202" s="6">
        <v>9353</v>
      </c>
      <c r="L202" s="6">
        <v>9281</v>
      </c>
      <c r="M202" s="6">
        <v>10539</v>
      </c>
      <c r="N202" s="6">
        <v>8554</v>
      </c>
      <c r="O202" s="6">
        <v>10470</v>
      </c>
      <c r="P202" s="6">
        <v>9632</v>
      </c>
      <c r="Q202" s="6">
        <v>9409</v>
      </c>
      <c r="R202" s="6">
        <v>11614</v>
      </c>
      <c r="S202" s="6">
        <v>9541</v>
      </c>
      <c r="T202" s="6">
        <v>10112</v>
      </c>
      <c r="U202" s="6">
        <v>10022</v>
      </c>
      <c r="V202" s="6">
        <v>9624</v>
      </c>
      <c r="W202" s="6">
        <v>9402</v>
      </c>
      <c r="X202" s="6">
        <v>9112</v>
      </c>
      <c r="Y202" s="6">
        <v>10198</v>
      </c>
      <c r="Z202" s="6">
        <v>10179</v>
      </c>
      <c r="AA202" s="6">
        <v>8461</v>
      </c>
      <c r="AB202" s="7"/>
      <c r="AC202" s="7"/>
      <c r="AD202" s="7"/>
    </row>
    <row r="203" spans="2:30" s="5" customFormat="1" x14ac:dyDescent="0.2">
      <c r="B203" s="191"/>
      <c r="C203" s="15" t="s">
        <v>3</v>
      </c>
      <c r="D203" s="39">
        <v>89.8</v>
      </c>
      <c r="E203" s="39">
        <v>89.6</v>
      </c>
      <c r="F203" s="39">
        <v>88.3</v>
      </c>
      <c r="G203" s="7">
        <v>89.5</v>
      </c>
      <c r="H203" s="7">
        <v>88.7</v>
      </c>
      <c r="I203" s="7">
        <v>88.2</v>
      </c>
      <c r="J203" s="7">
        <v>88.4</v>
      </c>
      <c r="K203" s="7">
        <v>87.7</v>
      </c>
      <c r="L203" s="7">
        <v>88.4</v>
      </c>
      <c r="M203" s="7">
        <v>88.6</v>
      </c>
      <c r="N203" s="7">
        <v>87.5</v>
      </c>
      <c r="O203" s="7">
        <v>88.3</v>
      </c>
      <c r="P203" s="7">
        <v>90.2</v>
      </c>
      <c r="Q203" s="7">
        <v>87.2</v>
      </c>
      <c r="R203" s="7">
        <v>88.1</v>
      </c>
      <c r="S203" s="7">
        <v>88.3</v>
      </c>
      <c r="T203" s="7">
        <v>87.3</v>
      </c>
      <c r="U203" s="7">
        <v>88.5</v>
      </c>
      <c r="V203" s="7">
        <v>87</v>
      </c>
      <c r="W203" s="7">
        <v>87.6</v>
      </c>
      <c r="X203" s="7">
        <v>88.9</v>
      </c>
      <c r="Y203" s="7">
        <v>88.6</v>
      </c>
      <c r="Z203" s="7">
        <v>88.7</v>
      </c>
      <c r="AA203" s="7">
        <v>87.4</v>
      </c>
      <c r="AB203" s="6"/>
      <c r="AC203" s="6"/>
      <c r="AD203" s="6"/>
    </row>
    <row r="204" spans="2:30" s="5" customFormat="1" x14ac:dyDescent="0.2">
      <c r="B204" s="190" t="s">
        <v>121</v>
      </c>
      <c r="C204" s="15" t="s">
        <v>2</v>
      </c>
      <c r="D204" s="39">
        <v>3452636</v>
      </c>
      <c r="E204" s="39">
        <v>341658</v>
      </c>
      <c r="F204" s="39">
        <v>15473</v>
      </c>
      <c r="G204" s="6">
        <v>673</v>
      </c>
      <c r="H204" s="6">
        <v>675</v>
      </c>
      <c r="I204" s="6">
        <v>695</v>
      </c>
      <c r="J204" s="6">
        <v>793</v>
      </c>
      <c r="K204" s="6">
        <v>818</v>
      </c>
      <c r="L204" s="6">
        <v>549</v>
      </c>
      <c r="M204" s="6">
        <v>696</v>
      </c>
      <c r="N204" s="6">
        <v>771</v>
      </c>
      <c r="O204" s="6">
        <v>742</v>
      </c>
      <c r="P204" s="6">
        <v>626</v>
      </c>
      <c r="Q204" s="6">
        <v>699</v>
      </c>
      <c r="R204" s="6">
        <v>811</v>
      </c>
      <c r="S204" s="6">
        <v>809</v>
      </c>
      <c r="T204" s="6">
        <v>1018</v>
      </c>
      <c r="U204" s="6">
        <v>916</v>
      </c>
      <c r="V204" s="6">
        <v>844</v>
      </c>
      <c r="W204" s="6">
        <v>775</v>
      </c>
      <c r="X204" s="6">
        <v>495</v>
      </c>
      <c r="Y204" s="6">
        <v>671</v>
      </c>
      <c r="Z204" s="6">
        <v>706</v>
      </c>
      <c r="AA204" s="6">
        <v>691</v>
      </c>
      <c r="AB204" s="7"/>
      <c r="AC204" s="7"/>
      <c r="AD204" s="7"/>
    </row>
    <row r="205" spans="2:30" s="5" customFormat="1" x14ac:dyDescent="0.2">
      <c r="B205" s="191"/>
      <c r="C205" s="15" t="s">
        <v>3</v>
      </c>
      <c r="D205" s="39">
        <v>6.5</v>
      </c>
      <c r="E205" s="39">
        <v>6.5</v>
      </c>
      <c r="F205" s="39">
        <v>6.7</v>
      </c>
      <c r="G205" s="7">
        <v>6.1</v>
      </c>
      <c r="H205" s="7">
        <v>6.1</v>
      </c>
      <c r="I205" s="7">
        <v>6.5</v>
      </c>
      <c r="J205" s="7">
        <v>7.4</v>
      </c>
      <c r="K205" s="7">
        <v>7.7</v>
      </c>
      <c r="L205" s="7">
        <v>5.2</v>
      </c>
      <c r="M205" s="7">
        <v>5.9</v>
      </c>
      <c r="N205" s="7">
        <v>7.9</v>
      </c>
      <c r="O205" s="7">
        <v>6.3</v>
      </c>
      <c r="P205" s="7">
        <v>5.9</v>
      </c>
      <c r="Q205" s="7">
        <v>6.5</v>
      </c>
      <c r="R205" s="7">
        <v>6.1</v>
      </c>
      <c r="S205" s="7">
        <v>7.5</v>
      </c>
      <c r="T205" s="7">
        <v>8.8000000000000007</v>
      </c>
      <c r="U205" s="7">
        <v>8.1</v>
      </c>
      <c r="V205" s="7">
        <v>7.6</v>
      </c>
      <c r="W205" s="7">
        <v>7.2</v>
      </c>
      <c r="X205" s="7">
        <v>4.8</v>
      </c>
      <c r="Y205" s="7">
        <v>5.8</v>
      </c>
      <c r="Z205" s="7">
        <v>6.2</v>
      </c>
      <c r="AA205" s="7">
        <v>7.1</v>
      </c>
      <c r="AB205" s="6"/>
      <c r="AC205" s="6"/>
      <c r="AD205" s="6"/>
    </row>
    <row r="206" spans="2:30" s="5" customFormat="1" x14ac:dyDescent="0.2">
      <c r="B206" s="190" t="s">
        <v>122</v>
      </c>
      <c r="C206" s="15" t="s">
        <v>2</v>
      </c>
      <c r="D206" s="39">
        <v>721143</v>
      </c>
      <c r="E206" s="39">
        <v>74574</v>
      </c>
      <c r="F206" s="39">
        <v>4075</v>
      </c>
      <c r="G206" s="6">
        <v>165</v>
      </c>
      <c r="H206" s="6">
        <v>189</v>
      </c>
      <c r="I206" s="6">
        <v>185</v>
      </c>
      <c r="J206" s="6">
        <v>172</v>
      </c>
      <c r="K206" s="6">
        <v>181</v>
      </c>
      <c r="L206" s="6">
        <v>238</v>
      </c>
      <c r="M206" s="6">
        <v>230</v>
      </c>
      <c r="N206" s="6">
        <v>166</v>
      </c>
      <c r="O206" s="6">
        <v>217</v>
      </c>
      <c r="P206" s="6">
        <v>167</v>
      </c>
      <c r="Q206" s="6">
        <v>218</v>
      </c>
      <c r="R206" s="6">
        <v>263</v>
      </c>
      <c r="S206" s="6">
        <v>170</v>
      </c>
      <c r="T206" s="6">
        <v>157</v>
      </c>
      <c r="U206" s="6">
        <v>126</v>
      </c>
      <c r="V206" s="6">
        <v>213</v>
      </c>
      <c r="W206" s="6">
        <v>204</v>
      </c>
      <c r="X206" s="6">
        <v>207</v>
      </c>
      <c r="Y206" s="6">
        <v>225</v>
      </c>
      <c r="Z206" s="6">
        <v>198</v>
      </c>
      <c r="AA206" s="6">
        <v>184</v>
      </c>
      <c r="AB206" s="7"/>
      <c r="AC206" s="7"/>
      <c r="AD206" s="7"/>
    </row>
    <row r="207" spans="2:30" s="5" customFormat="1" x14ac:dyDescent="0.2">
      <c r="B207" s="191"/>
      <c r="C207" s="15" t="s">
        <v>3</v>
      </c>
      <c r="D207" s="39">
        <v>1.4</v>
      </c>
      <c r="E207" s="39">
        <v>1.4</v>
      </c>
      <c r="F207" s="39">
        <v>1.8</v>
      </c>
      <c r="G207" s="7">
        <v>1.5</v>
      </c>
      <c r="H207" s="7">
        <v>1.7</v>
      </c>
      <c r="I207" s="7">
        <v>1.7</v>
      </c>
      <c r="J207" s="7">
        <v>1.6</v>
      </c>
      <c r="K207" s="7">
        <v>1.7</v>
      </c>
      <c r="L207" s="7">
        <v>2.2999999999999998</v>
      </c>
      <c r="M207" s="7">
        <v>1.9</v>
      </c>
      <c r="N207" s="7">
        <v>1.7</v>
      </c>
      <c r="O207" s="7">
        <v>1.8</v>
      </c>
      <c r="P207" s="7">
        <v>1.6</v>
      </c>
      <c r="Q207" s="7">
        <v>2</v>
      </c>
      <c r="R207" s="7">
        <v>2</v>
      </c>
      <c r="S207" s="7">
        <v>1.6</v>
      </c>
      <c r="T207" s="7">
        <v>1.4</v>
      </c>
      <c r="U207" s="7">
        <v>1.1000000000000001</v>
      </c>
      <c r="V207" s="7">
        <v>1.9</v>
      </c>
      <c r="W207" s="7">
        <v>1.9</v>
      </c>
      <c r="X207" s="7">
        <v>2</v>
      </c>
      <c r="Y207" s="7">
        <v>2</v>
      </c>
      <c r="Z207" s="7">
        <v>1.7</v>
      </c>
      <c r="AA207" s="7">
        <v>1.9</v>
      </c>
      <c r="AB207" s="6"/>
      <c r="AC207" s="6"/>
      <c r="AD207" s="6"/>
    </row>
    <row r="208" spans="2:30" s="5" customFormat="1" x14ac:dyDescent="0.2">
      <c r="B208" s="190" t="s">
        <v>123</v>
      </c>
      <c r="C208" s="15" t="s">
        <v>2</v>
      </c>
      <c r="D208" s="39">
        <v>1256237</v>
      </c>
      <c r="E208" s="39">
        <v>135109</v>
      </c>
      <c r="F208" s="39">
        <v>7619</v>
      </c>
      <c r="G208" s="6">
        <v>324</v>
      </c>
      <c r="H208" s="6">
        <v>376</v>
      </c>
      <c r="I208" s="6">
        <v>381</v>
      </c>
      <c r="J208" s="6">
        <v>274</v>
      </c>
      <c r="K208" s="6">
        <v>317</v>
      </c>
      <c r="L208" s="6">
        <v>430</v>
      </c>
      <c r="M208" s="6">
        <v>424</v>
      </c>
      <c r="N208" s="6">
        <v>286</v>
      </c>
      <c r="O208" s="6">
        <v>423</v>
      </c>
      <c r="P208" s="6">
        <v>255</v>
      </c>
      <c r="Q208" s="6">
        <v>459</v>
      </c>
      <c r="R208" s="6">
        <v>501</v>
      </c>
      <c r="S208" s="6">
        <v>291</v>
      </c>
      <c r="T208" s="6">
        <v>300</v>
      </c>
      <c r="U208" s="6">
        <v>258</v>
      </c>
      <c r="V208" s="6">
        <v>381</v>
      </c>
      <c r="W208" s="6">
        <v>347</v>
      </c>
      <c r="X208" s="6">
        <v>436</v>
      </c>
      <c r="Y208" s="6">
        <v>416</v>
      </c>
      <c r="Z208" s="6">
        <v>394</v>
      </c>
      <c r="AA208" s="6">
        <v>346</v>
      </c>
      <c r="AB208" s="7"/>
      <c r="AC208" s="7"/>
      <c r="AD208" s="7"/>
    </row>
    <row r="209" spans="1:30" s="5" customFormat="1" x14ac:dyDescent="0.2">
      <c r="B209" s="191"/>
      <c r="C209" s="15" t="s">
        <v>3</v>
      </c>
      <c r="D209" s="39">
        <v>2.4</v>
      </c>
      <c r="E209" s="39">
        <v>2.6</v>
      </c>
      <c r="F209" s="39">
        <v>3.3</v>
      </c>
      <c r="G209" s="7">
        <v>2.9</v>
      </c>
      <c r="H209" s="7">
        <v>3.4</v>
      </c>
      <c r="I209" s="7">
        <v>3.6</v>
      </c>
      <c r="J209" s="7">
        <v>2.6</v>
      </c>
      <c r="K209" s="7">
        <v>3</v>
      </c>
      <c r="L209" s="7">
        <v>4.0999999999999996</v>
      </c>
      <c r="M209" s="7">
        <v>3.6</v>
      </c>
      <c r="N209" s="7">
        <v>2.9</v>
      </c>
      <c r="O209" s="7">
        <v>3.6</v>
      </c>
      <c r="P209" s="7">
        <v>2.4</v>
      </c>
      <c r="Q209" s="7">
        <v>4.3</v>
      </c>
      <c r="R209" s="7">
        <v>3.8</v>
      </c>
      <c r="S209" s="7">
        <v>2.7</v>
      </c>
      <c r="T209" s="7">
        <v>2.6</v>
      </c>
      <c r="U209" s="7">
        <v>2.2999999999999998</v>
      </c>
      <c r="V209" s="7">
        <v>3.4</v>
      </c>
      <c r="W209" s="7">
        <v>3.2</v>
      </c>
      <c r="X209" s="7">
        <v>4.3</v>
      </c>
      <c r="Y209" s="7">
        <v>3.6</v>
      </c>
      <c r="Z209" s="7">
        <v>3.4</v>
      </c>
      <c r="AA209" s="7">
        <v>3.6</v>
      </c>
      <c r="AB209" s="6"/>
      <c r="AC209" s="6"/>
      <c r="AD209" s="6"/>
    </row>
    <row r="210" spans="1:30" s="5" customFormat="1" x14ac:dyDescent="0.2">
      <c r="A210" s="5" t="s">
        <v>241</v>
      </c>
      <c r="B210" s="190" t="s">
        <v>226</v>
      </c>
      <c r="C210" s="15" t="s">
        <v>2</v>
      </c>
      <c r="D210" s="39">
        <v>42989620</v>
      </c>
      <c r="E210" s="39">
        <v>4285941</v>
      </c>
      <c r="F210" s="39">
        <v>188335</v>
      </c>
      <c r="G210" s="6">
        <v>9268</v>
      </c>
      <c r="H210" s="6">
        <v>8748</v>
      </c>
      <c r="I210" s="6">
        <v>8656</v>
      </c>
      <c r="J210" s="6">
        <v>8754</v>
      </c>
      <c r="K210" s="6">
        <v>8814</v>
      </c>
      <c r="L210" s="6">
        <v>8432</v>
      </c>
      <c r="M210" s="6">
        <v>9453</v>
      </c>
      <c r="N210" s="6">
        <v>8290</v>
      </c>
      <c r="O210" s="6">
        <v>9606</v>
      </c>
      <c r="P210" s="6">
        <v>8647</v>
      </c>
      <c r="Q210" s="6">
        <v>8864</v>
      </c>
      <c r="R210" s="6">
        <v>10560</v>
      </c>
      <c r="S210" s="6">
        <v>8829</v>
      </c>
      <c r="T210" s="6">
        <v>9611</v>
      </c>
      <c r="U210" s="6">
        <v>9280</v>
      </c>
      <c r="V210" s="6">
        <v>9144</v>
      </c>
      <c r="W210" s="6">
        <v>8703</v>
      </c>
      <c r="X210" s="6">
        <v>8042</v>
      </c>
      <c r="Y210" s="6">
        <v>9411</v>
      </c>
      <c r="Z210" s="6">
        <v>9265</v>
      </c>
      <c r="AA210" s="6">
        <v>7958</v>
      </c>
    </row>
    <row r="211" spans="1:30" s="5" customFormat="1" x14ac:dyDescent="0.2">
      <c r="B211" s="191"/>
      <c r="C211" s="15" t="s">
        <v>3</v>
      </c>
      <c r="D211" s="39">
        <v>100</v>
      </c>
      <c r="E211" s="39">
        <v>100</v>
      </c>
      <c r="F211" s="39">
        <v>100</v>
      </c>
      <c r="G211" s="7">
        <v>100</v>
      </c>
      <c r="H211" s="7">
        <v>100</v>
      </c>
      <c r="I211" s="7">
        <v>100</v>
      </c>
      <c r="J211" s="7">
        <v>100</v>
      </c>
      <c r="K211" s="7">
        <v>100</v>
      </c>
      <c r="L211" s="7">
        <v>100</v>
      </c>
      <c r="M211" s="7">
        <v>100</v>
      </c>
      <c r="N211" s="7">
        <v>100</v>
      </c>
      <c r="O211" s="7">
        <v>100</v>
      </c>
      <c r="P211" s="7">
        <v>100</v>
      </c>
      <c r="Q211" s="7">
        <v>100</v>
      </c>
      <c r="R211" s="7">
        <v>100</v>
      </c>
      <c r="S211" s="7">
        <v>100</v>
      </c>
      <c r="T211" s="7">
        <v>100</v>
      </c>
      <c r="U211" s="7">
        <v>100</v>
      </c>
      <c r="V211" s="7">
        <v>100</v>
      </c>
      <c r="W211" s="7">
        <v>100</v>
      </c>
      <c r="X211" s="7">
        <v>100</v>
      </c>
      <c r="Y211" s="7">
        <v>100</v>
      </c>
      <c r="Z211" s="7">
        <v>100</v>
      </c>
      <c r="AA211" s="7">
        <v>100</v>
      </c>
    </row>
    <row r="212" spans="1:30" s="5" customFormat="1" x14ac:dyDescent="0.2">
      <c r="B212" s="190" t="s">
        <v>227</v>
      </c>
      <c r="C212" s="15" t="s">
        <v>2</v>
      </c>
      <c r="D212" s="39">
        <v>9656810</v>
      </c>
      <c r="E212" s="39">
        <v>1104692</v>
      </c>
      <c r="F212" s="39">
        <v>60890</v>
      </c>
      <c r="G212" s="6">
        <v>2831</v>
      </c>
      <c r="H212" s="6">
        <v>2965</v>
      </c>
      <c r="I212" s="6">
        <v>2751</v>
      </c>
      <c r="J212" s="6">
        <v>2232</v>
      </c>
      <c r="K212" s="6">
        <v>2418</v>
      </c>
      <c r="L212" s="6">
        <v>3614</v>
      </c>
      <c r="M212" s="6">
        <v>3383</v>
      </c>
      <c r="N212" s="6">
        <v>2414</v>
      </c>
      <c r="O212" s="6">
        <v>3024</v>
      </c>
      <c r="P212" s="6">
        <v>2688</v>
      </c>
      <c r="Q212" s="6">
        <v>3553</v>
      </c>
      <c r="R212" s="6">
        <v>3929</v>
      </c>
      <c r="S212" s="6">
        <v>2242</v>
      </c>
      <c r="T212" s="6">
        <v>1976</v>
      </c>
      <c r="U212" s="6">
        <v>2106</v>
      </c>
      <c r="V212" s="6">
        <v>2918</v>
      </c>
      <c r="W212" s="6">
        <v>2781</v>
      </c>
      <c r="X212" s="6">
        <v>3538</v>
      </c>
      <c r="Y212" s="6">
        <v>3464</v>
      </c>
      <c r="Z212" s="6">
        <v>3079</v>
      </c>
      <c r="AA212" s="6">
        <v>2984</v>
      </c>
    </row>
    <row r="213" spans="1:30" s="5" customFormat="1" x14ac:dyDescent="0.2">
      <c r="B213" s="191"/>
      <c r="C213" s="15" t="s">
        <v>3</v>
      </c>
      <c r="D213" s="39">
        <v>22.5</v>
      </c>
      <c r="E213" s="39">
        <v>25.8</v>
      </c>
      <c r="F213" s="39">
        <v>32.299999999999997</v>
      </c>
      <c r="G213" s="7">
        <v>30.5</v>
      </c>
      <c r="H213" s="7">
        <v>33.9</v>
      </c>
      <c r="I213" s="7">
        <v>31.8</v>
      </c>
      <c r="J213" s="7">
        <v>25.5</v>
      </c>
      <c r="K213" s="7">
        <v>27.4</v>
      </c>
      <c r="L213" s="7">
        <v>42.9</v>
      </c>
      <c r="M213" s="7">
        <v>35.799999999999997</v>
      </c>
      <c r="N213" s="7">
        <v>29.1</v>
      </c>
      <c r="O213" s="7">
        <v>31.5</v>
      </c>
      <c r="P213" s="7">
        <v>31.1</v>
      </c>
      <c r="Q213" s="7">
        <v>40.1</v>
      </c>
      <c r="R213" s="7">
        <v>37.200000000000003</v>
      </c>
      <c r="S213" s="7">
        <v>25.4</v>
      </c>
      <c r="T213" s="7">
        <v>20.6</v>
      </c>
      <c r="U213" s="7">
        <v>22.7</v>
      </c>
      <c r="V213" s="7">
        <v>31.9</v>
      </c>
      <c r="W213" s="7">
        <v>32</v>
      </c>
      <c r="X213" s="7">
        <v>44</v>
      </c>
      <c r="Y213" s="7">
        <v>36.799999999999997</v>
      </c>
      <c r="Z213" s="7">
        <v>33.200000000000003</v>
      </c>
      <c r="AA213" s="7">
        <v>37.5</v>
      </c>
    </row>
    <row r="214" spans="1:30" s="5" customFormat="1" x14ac:dyDescent="0.2">
      <c r="B214" s="190" t="s">
        <v>228</v>
      </c>
      <c r="C214" s="15" t="s">
        <v>2</v>
      </c>
      <c r="D214" s="39">
        <v>5714441</v>
      </c>
      <c r="E214" s="39">
        <v>581029</v>
      </c>
      <c r="F214" s="39">
        <v>26913</v>
      </c>
      <c r="G214" s="6">
        <v>1359</v>
      </c>
      <c r="H214" s="6">
        <v>1331</v>
      </c>
      <c r="I214" s="6">
        <v>1274</v>
      </c>
      <c r="J214" s="6">
        <v>1274</v>
      </c>
      <c r="K214" s="6">
        <v>1095</v>
      </c>
      <c r="L214" s="6">
        <v>1321</v>
      </c>
      <c r="M214" s="6">
        <v>1527</v>
      </c>
      <c r="N214" s="6">
        <v>981</v>
      </c>
      <c r="O214" s="6">
        <v>1444</v>
      </c>
      <c r="P214" s="6">
        <v>1290</v>
      </c>
      <c r="Q214" s="6">
        <v>1369</v>
      </c>
      <c r="R214" s="6">
        <v>1560</v>
      </c>
      <c r="S214" s="6">
        <v>1198</v>
      </c>
      <c r="T214" s="6">
        <v>1030</v>
      </c>
      <c r="U214" s="6">
        <v>1103</v>
      </c>
      <c r="V214" s="6">
        <v>1277</v>
      </c>
      <c r="W214" s="6">
        <v>1299</v>
      </c>
      <c r="X214" s="6">
        <v>1261</v>
      </c>
      <c r="Y214" s="6">
        <v>1456</v>
      </c>
      <c r="Z214" s="6">
        <v>1419</v>
      </c>
      <c r="AA214" s="6">
        <v>1045</v>
      </c>
    </row>
    <row r="215" spans="1:30" s="5" customFormat="1" x14ac:dyDescent="0.2">
      <c r="B215" s="191"/>
      <c r="C215" s="15" t="s">
        <v>3</v>
      </c>
      <c r="D215" s="39">
        <v>13.3</v>
      </c>
      <c r="E215" s="39">
        <v>13.6</v>
      </c>
      <c r="F215" s="39">
        <v>14.3</v>
      </c>
      <c r="G215" s="7">
        <v>14.7</v>
      </c>
      <c r="H215" s="7">
        <v>15.2</v>
      </c>
      <c r="I215" s="7">
        <v>14.7</v>
      </c>
      <c r="J215" s="7">
        <v>14.6</v>
      </c>
      <c r="K215" s="7">
        <v>12.4</v>
      </c>
      <c r="L215" s="7">
        <v>15.7</v>
      </c>
      <c r="M215" s="7">
        <v>16.2</v>
      </c>
      <c r="N215" s="7">
        <v>11.8</v>
      </c>
      <c r="O215" s="7">
        <v>15</v>
      </c>
      <c r="P215" s="7">
        <v>14.9</v>
      </c>
      <c r="Q215" s="7">
        <v>15.4</v>
      </c>
      <c r="R215" s="7">
        <v>14.8</v>
      </c>
      <c r="S215" s="7">
        <v>13.6</v>
      </c>
      <c r="T215" s="7">
        <v>10.7</v>
      </c>
      <c r="U215" s="7">
        <v>11.9</v>
      </c>
      <c r="V215" s="7">
        <v>14</v>
      </c>
      <c r="W215" s="7">
        <v>14.9</v>
      </c>
      <c r="X215" s="7">
        <v>15.7</v>
      </c>
      <c r="Y215" s="7">
        <v>15.5</v>
      </c>
      <c r="Z215" s="7">
        <v>15.3</v>
      </c>
      <c r="AA215" s="7">
        <v>13.1</v>
      </c>
    </row>
    <row r="216" spans="1:30" s="5" customFormat="1" x14ac:dyDescent="0.2">
      <c r="B216" s="190" t="s">
        <v>229</v>
      </c>
      <c r="C216" s="15" t="s">
        <v>2</v>
      </c>
      <c r="D216" s="39">
        <v>6544614</v>
      </c>
      <c r="E216" s="39">
        <v>662318</v>
      </c>
      <c r="F216" s="39">
        <v>30550</v>
      </c>
      <c r="G216" s="6">
        <v>1537</v>
      </c>
      <c r="H216" s="6">
        <v>1530</v>
      </c>
      <c r="I216" s="6">
        <v>1432</v>
      </c>
      <c r="J216" s="6">
        <v>1424</v>
      </c>
      <c r="K216" s="6">
        <v>1420</v>
      </c>
      <c r="L216" s="6">
        <v>1294</v>
      </c>
      <c r="M216" s="6">
        <v>1592</v>
      </c>
      <c r="N216" s="6">
        <v>1280</v>
      </c>
      <c r="O216" s="6">
        <v>1595</v>
      </c>
      <c r="P216" s="6">
        <v>1449</v>
      </c>
      <c r="Q216" s="6">
        <v>1332</v>
      </c>
      <c r="R216" s="6">
        <v>1653</v>
      </c>
      <c r="S216" s="6">
        <v>1434</v>
      </c>
      <c r="T216" s="6">
        <v>1436</v>
      </c>
      <c r="U216" s="6">
        <v>1472</v>
      </c>
      <c r="V216" s="6">
        <v>1532</v>
      </c>
      <c r="W216" s="6">
        <v>1450</v>
      </c>
      <c r="X216" s="6">
        <v>1308</v>
      </c>
      <c r="Y216" s="6">
        <v>1521</v>
      </c>
      <c r="Z216" s="6">
        <v>1605</v>
      </c>
      <c r="AA216" s="6">
        <v>1254</v>
      </c>
    </row>
    <row r="217" spans="1:30" s="5" customFormat="1" x14ac:dyDescent="0.2">
      <c r="B217" s="191"/>
      <c r="C217" s="15" t="s">
        <v>3</v>
      </c>
      <c r="D217" s="39">
        <v>15.2</v>
      </c>
      <c r="E217" s="39">
        <v>15.5</v>
      </c>
      <c r="F217" s="39">
        <v>16.2</v>
      </c>
      <c r="G217" s="7">
        <v>16.600000000000001</v>
      </c>
      <c r="H217" s="7">
        <v>17.5</v>
      </c>
      <c r="I217" s="7">
        <v>16.5</v>
      </c>
      <c r="J217" s="7">
        <v>16.3</v>
      </c>
      <c r="K217" s="7">
        <v>16.100000000000001</v>
      </c>
      <c r="L217" s="7">
        <v>15.3</v>
      </c>
      <c r="M217" s="7">
        <v>16.8</v>
      </c>
      <c r="N217" s="7">
        <v>15.4</v>
      </c>
      <c r="O217" s="7">
        <v>16.600000000000001</v>
      </c>
      <c r="P217" s="7">
        <v>16.8</v>
      </c>
      <c r="Q217" s="7">
        <v>15</v>
      </c>
      <c r="R217" s="7">
        <v>15.7</v>
      </c>
      <c r="S217" s="7">
        <v>16.2</v>
      </c>
      <c r="T217" s="7">
        <v>14.9</v>
      </c>
      <c r="U217" s="7">
        <v>15.9</v>
      </c>
      <c r="V217" s="7">
        <v>16.8</v>
      </c>
      <c r="W217" s="7">
        <v>16.7</v>
      </c>
      <c r="X217" s="7">
        <v>16.3</v>
      </c>
      <c r="Y217" s="7">
        <v>16.2</v>
      </c>
      <c r="Z217" s="7">
        <v>17.3</v>
      </c>
      <c r="AA217" s="7">
        <v>15.8</v>
      </c>
    </row>
    <row r="218" spans="1:30" s="5" customFormat="1" x14ac:dyDescent="0.2">
      <c r="B218" s="190" t="s">
        <v>230</v>
      </c>
      <c r="C218" s="15" t="s">
        <v>2</v>
      </c>
      <c r="D218" s="39">
        <v>1532934</v>
      </c>
      <c r="E218" s="39">
        <v>181690</v>
      </c>
      <c r="F218" s="39">
        <v>7716</v>
      </c>
      <c r="G218" s="6">
        <v>364</v>
      </c>
      <c r="H218" s="6">
        <v>343</v>
      </c>
      <c r="I218" s="6">
        <v>340</v>
      </c>
      <c r="J218" s="6">
        <v>390</v>
      </c>
      <c r="K218" s="6">
        <v>373</v>
      </c>
      <c r="L218" s="6">
        <v>298</v>
      </c>
      <c r="M218" s="6">
        <v>370</v>
      </c>
      <c r="N218" s="6">
        <v>337</v>
      </c>
      <c r="O218" s="6">
        <v>432</v>
      </c>
      <c r="P218" s="6">
        <v>306</v>
      </c>
      <c r="Q218" s="6">
        <v>331</v>
      </c>
      <c r="R218" s="6">
        <v>420</v>
      </c>
      <c r="S218" s="6">
        <v>376</v>
      </c>
      <c r="T218" s="6">
        <v>410</v>
      </c>
      <c r="U218" s="6">
        <v>438</v>
      </c>
      <c r="V218" s="6">
        <v>461</v>
      </c>
      <c r="W218" s="6">
        <v>366</v>
      </c>
      <c r="X218" s="6">
        <v>248</v>
      </c>
      <c r="Y218" s="6">
        <v>406</v>
      </c>
      <c r="Z218" s="6">
        <v>371</v>
      </c>
      <c r="AA218" s="6">
        <v>336</v>
      </c>
    </row>
    <row r="219" spans="1:30" s="5" customFormat="1" x14ac:dyDescent="0.2">
      <c r="B219" s="191"/>
      <c r="C219" s="15" t="s">
        <v>3</v>
      </c>
      <c r="D219" s="39">
        <v>3.6</v>
      </c>
      <c r="E219" s="39">
        <v>4.2</v>
      </c>
      <c r="F219" s="39">
        <v>4.0999999999999996</v>
      </c>
      <c r="G219" s="7">
        <v>3.9</v>
      </c>
      <c r="H219" s="7">
        <v>3.9</v>
      </c>
      <c r="I219" s="7">
        <v>3.9</v>
      </c>
      <c r="J219" s="7">
        <v>4.5</v>
      </c>
      <c r="K219" s="7">
        <v>4.2</v>
      </c>
      <c r="L219" s="7">
        <v>3.5</v>
      </c>
      <c r="M219" s="7">
        <v>3.9</v>
      </c>
      <c r="N219" s="7">
        <v>4.0999999999999996</v>
      </c>
      <c r="O219" s="7">
        <v>4.5</v>
      </c>
      <c r="P219" s="7">
        <v>3.5</v>
      </c>
      <c r="Q219" s="7">
        <v>3.7</v>
      </c>
      <c r="R219" s="7">
        <v>4</v>
      </c>
      <c r="S219" s="7">
        <v>4.3</v>
      </c>
      <c r="T219" s="7">
        <v>4.3</v>
      </c>
      <c r="U219" s="7">
        <v>4.7</v>
      </c>
      <c r="V219" s="7">
        <v>5</v>
      </c>
      <c r="W219" s="7">
        <v>4.2</v>
      </c>
      <c r="X219" s="7">
        <v>3.1</v>
      </c>
      <c r="Y219" s="7">
        <v>4.3</v>
      </c>
      <c r="Z219" s="7">
        <v>4</v>
      </c>
      <c r="AA219" s="7">
        <v>4.2</v>
      </c>
    </row>
    <row r="220" spans="1:30" s="5" customFormat="1" x14ac:dyDescent="0.2">
      <c r="B220" s="190" t="s">
        <v>231</v>
      </c>
      <c r="C220" s="15" t="s">
        <v>2</v>
      </c>
      <c r="D220" s="39">
        <v>5309631</v>
      </c>
      <c r="E220" s="39">
        <v>547480</v>
      </c>
      <c r="F220" s="39">
        <v>21342</v>
      </c>
      <c r="G220" s="6">
        <v>1129</v>
      </c>
      <c r="H220" s="6">
        <v>1032</v>
      </c>
      <c r="I220" s="6">
        <v>991</v>
      </c>
      <c r="J220" s="6">
        <v>1103</v>
      </c>
      <c r="K220" s="6">
        <v>1140</v>
      </c>
      <c r="L220" s="6">
        <v>784</v>
      </c>
      <c r="M220" s="6">
        <v>1044</v>
      </c>
      <c r="N220" s="6">
        <v>941</v>
      </c>
      <c r="O220" s="6">
        <v>1093</v>
      </c>
      <c r="P220" s="6">
        <v>1071</v>
      </c>
      <c r="Q220" s="6">
        <v>850</v>
      </c>
      <c r="R220" s="6">
        <v>1119</v>
      </c>
      <c r="S220" s="6">
        <v>1163</v>
      </c>
      <c r="T220" s="6">
        <v>1121</v>
      </c>
      <c r="U220" s="6">
        <v>1121</v>
      </c>
      <c r="V220" s="6">
        <v>1090</v>
      </c>
      <c r="W220" s="6">
        <v>1001</v>
      </c>
      <c r="X220" s="6">
        <v>730</v>
      </c>
      <c r="Y220" s="6">
        <v>960</v>
      </c>
      <c r="Z220" s="6">
        <v>1062</v>
      </c>
      <c r="AA220" s="6">
        <v>797</v>
      </c>
    </row>
    <row r="221" spans="1:30" s="5" customFormat="1" x14ac:dyDescent="0.2">
      <c r="B221" s="191"/>
      <c r="C221" s="15" t="s">
        <v>3</v>
      </c>
      <c r="D221" s="39">
        <v>12.4</v>
      </c>
      <c r="E221" s="39">
        <v>12.8</v>
      </c>
      <c r="F221" s="39">
        <v>11.3</v>
      </c>
      <c r="G221" s="7">
        <v>12.2</v>
      </c>
      <c r="H221" s="7">
        <v>11.8</v>
      </c>
      <c r="I221" s="7">
        <v>11.4</v>
      </c>
      <c r="J221" s="7">
        <v>12.6</v>
      </c>
      <c r="K221" s="7">
        <v>12.9</v>
      </c>
      <c r="L221" s="7">
        <v>9.3000000000000007</v>
      </c>
      <c r="M221" s="7">
        <v>11</v>
      </c>
      <c r="N221" s="7">
        <v>11.4</v>
      </c>
      <c r="O221" s="7">
        <v>11.4</v>
      </c>
      <c r="P221" s="7">
        <v>12.4</v>
      </c>
      <c r="Q221" s="7">
        <v>9.6</v>
      </c>
      <c r="R221" s="7">
        <v>10.6</v>
      </c>
      <c r="S221" s="7">
        <v>13.2</v>
      </c>
      <c r="T221" s="7">
        <v>11.7</v>
      </c>
      <c r="U221" s="7">
        <v>12.1</v>
      </c>
      <c r="V221" s="7">
        <v>11.9</v>
      </c>
      <c r="W221" s="7">
        <v>11.5</v>
      </c>
      <c r="X221" s="7">
        <v>9.1</v>
      </c>
      <c r="Y221" s="7">
        <v>10.199999999999999</v>
      </c>
      <c r="Z221" s="7">
        <v>11.5</v>
      </c>
      <c r="AA221" s="7">
        <v>10</v>
      </c>
    </row>
    <row r="222" spans="1:30" s="5" customFormat="1" x14ac:dyDescent="0.2">
      <c r="B222" s="190" t="s">
        <v>232</v>
      </c>
      <c r="C222" s="15" t="s">
        <v>2</v>
      </c>
      <c r="D222" s="39">
        <v>11769361</v>
      </c>
      <c r="E222" s="39">
        <v>998718</v>
      </c>
      <c r="F222" s="39">
        <v>32724</v>
      </c>
      <c r="G222" s="6">
        <v>1504</v>
      </c>
      <c r="H222" s="6">
        <v>1150</v>
      </c>
      <c r="I222" s="6">
        <v>1455</v>
      </c>
      <c r="J222" s="6">
        <v>1901</v>
      </c>
      <c r="K222" s="6">
        <v>2025</v>
      </c>
      <c r="L222" s="6">
        <v>791</v>
      </c>
      <c r="M222" s="6">
        <v>1098</v>
      </c>
      <c r="N222" s="6">
        <v>1971</v>
      </c>
      <c r="O222" s="6">
        <v>1610</v>
      </c>
      <c r="P222" s="6">
        <v>1397</v>
      </c>
      <c r="Q222" s="6">
        <v>1034</v>
      </c>
      <c r="R222" s="6">
        <v>1477</v>
      </c>
      <c r="S222" s="6">
        <v>2040</v>
      </c>
      <c r="T222" s="6">
        <v>3308</v>
      </c>
      <c r="U222" s="6">
        <v>2741</v>
      </c>
      <c r="V222" s="6">
        <v>1464</v>
      </c>
      <c r="W222" s="6">
        <v>1444</v>
      </c>
      <c r="X222" s="6">
        <v>620</v>
      </c>
      <c r="Y222" s="6">
        <v>1190</v>
      </c>
      <c r="Z222" s="6">
        <v>1308</v>
      </c>
      <c r="AA222" s="6">
        <v>1196</v>
      </c>
    </row>
    <row r="223" spans="1:30" s="5" customFormat="1" x14ac:dyDescent="0.2">
      <c r="B223" s="191"/>
      <c r="C223" s="15" t="s">
        <v>3</v>
      </c>
      <c r="D223" s="39">
        <v>27.4</v>
      </c>
      <c r="E223" s="39">
        <v>23.3</v>
      </c>
      <c r="F223" s="39">
        <v>17.399999999999999</v>
      </c>
      <c r="G223" s="7">
        <v>16.2</v>
      </c>
      <c r="H223" s="7">
        <v>13.1</v>
      </c>
      <c r="I223" s="7">
        <v>16.8</v>
      </c>
      <c r="J223" s="7">
        <v>21.7</v>
      </c>
      <c r="K223" s="7">
        <v>23</v>
      </c>
      <c r="L223" s="7">
        <v>9.4</v>
      </c>
      <c r="M223" s="7">
        <v>11.6</v>
      </c>
      <c r="N223" s="7">
        <v>23.8</v>
      </c>
      <c r="O223" s="7">
        <v>16.8</v>
      </c>
      <c r="P223" s="7">
        <v>16.2</v>
      </c>
      <c r="Q223" s="7">
        <v>11.7</v>
      </c>
      <c r="R223" s="7">
        <v>14</v>
      </c>
      <c r="S223" s="7">
        <v>23.1</v>
      </c>
      <c r="T223" s="7">
        <v>34.4</v>
      </c>
      <c r="U223" s="7">
        <v>29.5</v>
      </c>
      <c r="V223" s="7">
        <v>16</v>
      </c>
      <c r="W223" s="7">
        <v>16.600000000000001</v>
      </c>
      <c r="X223" s="7">
        <v>7.7</v>
      </c>
      <c r="Y223" s="7">
        <v>12.6</v>
      </c>
      <c r="Z223" s="7">
        <v>14.1</v>
      </c>
      <c r="AA223" s="7">
        <v>15</v>
      </c>
    </row>
    <row r="224" spans="1:30" s="5" customFormat="1" x14ac:dyDescent="0.2">
      <c r="B224" s="190" t="s">
        <v>233</v>
      </c>
      <c r="C224" s="15" t="s">
        <v>2</v>
      </c>
      <c r="D224" s="39">
        <v>2461829</v>
      </c>
      <c r="E224" s="39">
        <v>210014</v>
      </c>
      <c r="F224" s="39">
        <v>8200</v>
      </c>
      <c r="G224" s="6">
        <v>544</v>
      </c>
      <c r="H224" s="6">
        <v>397</v>
      </c>
      <c r="I224" s="6">
        <v>413</v>
      </c>
      <c r="J224" s="6">
        <v>430</v>
      </c>
      <c r="K224" s="6">
        <v>343</v>
      </c>
      <c r="L224" s="6">
        <v>330</v>
      </c>
      <c r="M224" s="6">
        <v>439</v>
      </c>
      <c r="N224" s="6">
        <v>366</v>
      </c>
      <c r="O224" s="6">
        <v>408</v>
      </c>
      <c r="P224" s="6">
        <v>446</v>
      </c>
      <c r="Q224" s="6">
        <v>395</v>
      </c>
      <c r="R224" s="6">
        <v>402</v>
      </c>
      <c r="S224" s="6">
        <v>376</v>
      </c>
      <c r="T224" s="6">
        <v>330</v>
      </c>
      <c r="U224" s="6">
        <v>299</v>
      </c>
      <c r="V224" s="6">
        <v>402</v>
      </c>
      <c r="W224" s="6">
        <v>362</v>
      </c>
      <c r="X224" s="6">
        <v>337</v>
      </c>
      <c r="Y224" s="6">
        <v>414</v>
      </c>
      <c r="Z224" s="6">
        <v>421</v>
      </c>
      <c r="AA224" s="6">
        <v>346</v>
      </c>
    </row>
    <row r="225" spans="1:27" s="5" customFormat="1" x14ac:dyDescent="0.2">
      <c r="B225" s="191"/>
      <c r="C225" s="15" t="s">
        <v>3</v>
      </c>
      <c r="D225" s="39">
        <v>5.7</v>
      </c>
      <c r="E225" s="39">
        <v>4.9000000000000004</v>
      </c>
      <c r="F225" s="39">
        <v>4.4000000000000004</v>
      </c>
      <c r="G225" s="7">
        <v>5.9</v>
      </c>
      <c r="H225" s="7">
        <v>4.5</v>
      </c>
      <c r="I225" s="7">
        <v>4.8</v>
      </c>
      <c r="J225" s="7">
        <v>4.9000000000000004</v>
      </c>
      <c r="K225" s="7">
        <v>3.9</v>
      </c>
      <c r="L225" s="7">
        <v>3.9</v>
      </c>
      <c r="M225" s="7">
        <v>4.5999999999999996</v>
      </c>
      <c r="N225" s="7">
        <v>4.4000000000000004</v>
      </c>
      <c r="O225" s="7">
        <v>4.2</v>
      </c>
      <c r="P225" s="7">
        <v>5.2</v>
      </c>
      <c r="Q225" s="7">
        <v>4.5</v>
      </c>
      <c r="R225" s="7">
        <v>3.8</v>
      </c>
      <c r="S225" s="7">
        <v>4.3</v>
      </c>
      <c r="T225" s="7">
        <v>3.4</v>
      </c>
      <c r="U225" s="7">
        <v>3.2</v>
      </c>
      <c r="V225" s="7">
        <v>4.4000000000000004</v>
      </c>
      <c r="W225" s="7">
        <v>4.2</v>
      </c>
      <c r="X225" s="7">
        <v>4.2</v>
      </c>
      <c r="Y225" s="7">
        <v>4.4000000000000004</v>
      </c>
      <c r="Z225" s="7">
        <v>4.5</v>
      </c>
      <c r="AA225" s="7">
        <v>4.3</v>
      </c>
    </row>
    <row r="226" spans="1:27" s="5" customFormat="1" x14ac:dyDescent="0.2">
      <c r="B226" s="190" t="s">
        <v>234</v>
      </c>
      <c r="C226" s="15" t="s">
        <v>2</v>
      </c>
      <c r="D226" s="39">
        <v>1163148</v>
      </c>
      <c r="E226" s="39">
        <v>113290</v>
      </c>
      <c r="F226" s="39">
        <v>4905</v>
      </c>
      <c r="G226" s="6">
        <v>189</v>
      </c>
      <c r="H226" s="6">
        <v>251</v>
      </c>
      <c r="I226" s="6">
        <v>231</v>
      </c>
      <c r="J226" s="6">
        <v>211</v>
      </c>
      <c r="K226" s="6">
        <v>242</v>
      </c>
      <c r="L226" s="6">
        <v>207</v>
      </c>
      <c r="M226" s="6">
        <v>288</v>
      </c>
      <c r="N226" s="6">
        <v>222</v>
      </c>
      <c r="O226" s="6">
        <v>247</v>
      </c>
      <c r="P226" s="6">
        <v>194</v>
      </c>
      <c r="Q226" s="6">
        <v>212</v>
      </c>
      <c r="R226" s="6">
        <v>288</v>
      </c>
      <c r="S226" s="6">
        <v>237</v>
      </c>
      <c r="T226" s="6">
        <v>243</v>
      </c>
      <c r="U226" s="6">
        <v>252</v>
      </c>
      <c r="V226" s="6">
        <v>230</v>
      </c>
      <c r="W226" s="6">
        <v>220</v>
      </c>
      <c r="X226" s="6">
        <v>247</v>
      </c>
      <c r="Y226" s="6">
        <v>259</v>
      </c>
      <c r="Z226" s="6">
        <v>236</v>
      </c>
      <c r="AA226" s="6">
        <v>199</v>
      </c>
    </row>
    <row r="227" spans="1:27" s="5" customFormat="1" x14ac:dyDescent="0.2">
      <c r="B227" s="191"/>
      <c r="C227" s="15" t="s">
        <v>3</v>
      </c>
      <c r="D227" s="39">
        <v>2.7</v>
      </c>
      <c r="E227" s="39">
        <v>2.6</v>
      </c>
      <c r="F227" s="39">
        <v>2.6</v>
      </c>
      <c r="G227" s="7">
        <v>2</v>
      </c>
      <c r="H227" s="7">
        <v>2.9</v>
      </c>
      <c r="I227" s="7">
        <v>2.7</v>
      </c>
      <c r="J227" s="7">
        <v>2.4</v>
      </c>
      <c r="K227" s="7">
        <v>2.7</v>
      </c>
      <c r="L227" s="7">
        <v>2.5</v>
      </c>
      <c r="M227" s="7">
        <v>3</v>
      </c>
      <c r="N227" s="7">
        <v>2.7</v>
      </c>
      <c r="O227" s="7">
        <v>2.6</v>
      </c>
      <c r="P227" s="7">
        <v>2.2000000000000002</v>
      </c>
      <c r="Q227" s="7">
        <v>2.4</v>
      </c>
      <c r="R227" s="7">
        <v>2.7</v>
      </c>
      <c r="S227" s="7">
        <v>2.7</v>
      </c>
      <c r="T227" s="7">
        <v>2.5</v>
      </c>
      <c r="U227" s="7">
        <v>2.7</v>
      </c>
      <c r="V227" s="7">
        <v>2.5</v>
      </c>
      <c r="W227" s="7">
        <v>2.5</v>
      </c>
      <c r="X227" s="7">
        <v>3.1</v>
      </c>
      <c r="Y227" s="7">
        <v>2.8</v>
      </c>
      <c r="Z227" s="7">
        <v>2.5</v>
      </c>
      <c r="AA227" s="7">
        <v>2.5</v>
      </c>
    </row>
    <row r="228" spans="1:27" s="5" customFormat="1" x14ac:dyDescent="0.2">
      <c r="B228" s="190" t="s">
        <v>235</v>
      </c>
      <c r="C228" s="15" t="s">
        <v>2</v>
      </c>
      <c r="D228" s="39">
        <v>2348197</v>
      </c>
      <c r="E228" s="39">
        <v>245450</v>
      </c>
      <c r="F228" s="39">
        <v>4942</v>
      </c>
      <c r="G228" s="6">
        <v>369</v>
      </c>
      <c r="H228" s="6">
        <v>194</v>
      </c>
      <c r="I228" s="6">
        <v>198</v>
      </c>
      <c r="J228" s="6">
        <v>260</v>
      </c>
      <c r="K228" s="6">
        <v>245</v>
      </c>
      <c r="L228" s="6">
        <v>208</v>
      </c>
      <c r="M228" s="6">
        <v>225</v>
      </c>
      <c r="N228" s="6">
        <v>206</v>
      </c>
      <c r="O228" s="6">
        <v>250</v>
      </c>
      <c r="P228" s="6">
        <v>242</v>
      </c>
      <c r="Q228" s="6">
        <v>210</v>
      </c>
      <c r="R228" s="6">
        <v>235</v>
      </c>
      <c r="S228" s="6">
        <v>282</v>
      </c>
      <c r="T228" s="6">
        <v>238</v>
      </c>
      <c r="U228" s="6">
        <v>223</v>
      </c>
      <c r="V228" s="6">
        <v>229</v>
      </c>
      <c r="W228" s="6">
        <v>243</v>
      </c>
      <c r="X228" s="6">
        <v>214</v>
      </c>
      <c r="Y228" s="6">
        <v>238</v>
      </c>
      <c r="Z228" s="6">
        <v>227</v>
      </c>
      <c r="AA228" s="6">
        <v>206</v>
      </c>
    </row>
    <row r="229" spans="1:27" s="5" customFormat="1" x14ac:dyDescent="0.2">
      <c r="B229" s="191"/>
      <c r="C229" s="15" t="s">
        <v>3</v>
      </c>
      <c r="D229" s="39">
        <v>5.5</v>
      </c>
      <c r="E229" s="39">
        <v>5.7</v>
      </c>
      <c r="F229" s="39">
        <v>2.6</v>
      </c>
      <c r="G229" s="7">
        <v>4</v>
      </c>
      <c r="H229" s="7">
        <v>2.2000000000000002</v>
      </c>
      <c r="I229" s="7">
        <v>2.2999999999999998</v>
      </c>
      <c r="J229" s="7">
        <v>3</v>
      </c>
      <c r="K229" s="7">
        <v>2.8</v>
      </c>
      <c r="L229" s="7">
        <v>2.5</v>
      </c>
      <c r="M229" s="7">
        <v>2.4</v>
      </c>
      <c r="N229" s="7">
        <v>2.5</v>
      </c>
      <c r="O229" s="7">
        <v>2.6</v>
      </c>
      <c r="P229" s="7">
        <v>2.8</v>
      </c>
      <c r="Q229" s="7">
        <v>2.4</v>
      </c>
      <c r="R229" s="7">
        <v>2.2000000000000002</v>
      </c>
      <c r="S229" s="7">
        <v>3.2</v>
      </c>
      <c r="T229" s="7">
        <v>2.5</v>
      </c>
      <c r="U229" s="7">
        <v>2.4</v>
      </c>
      <c r="V229" s="7">
        <v>2.5</v>
      </c>
      <c r="W229" s="7">
        <v>2.8</v>
      </c>
      <c r="X229" s="7">
        <v>2.7</v>
      </c>
      <c r="Y229" s="7">
        <v>2.5</v>
      </c>
      <c r="Z229" s="7">
        <v>2.5</v>
      </c>
      <c r="AA229" s="7">
        <v>2.6</v>
      </c>
    </row>
    <row r="230" spans="1:27" s="5" customFormat="1" x14ac:dyDescent="0.2">
      <c r="B230" s="190" t="s">
        <v>236</v>
      </c>
      <c r="C230" s="15" t="s">
        <v>2</v>
      </c>
      <c r="D230" s="39">
        <v>791902</v>
      </c>
      <c r="E230" s="39">
        <v>80433</v>
      </c>
      <c r="F230" s="39">
        <v>1986</v>
      </c>
      <c r="G230" s="6">
        <v>120</v>
      </c>
      <c r="H230" s="6">
        <v>85</v>
      </c>
      <c r="I230" s="6">
        <v>93</v>
      </c>
      <c r="J230" s="6">
        <v>130</v>
      </c>
      <c r="K230" s="6">
        <v>95</v>
      </c>
      <c r="L230" s="6">
        <v>67</v>
      </c>
      <c r="M230" s="6">
        <v>92</v>
      </c>
      <c r="N230" s="6">
        <v>77</v>
      </c>
      <c r="O230" s="6">
        <v>95</v>
      </c>
      <c r="P230" s="6">
        <v>92</v>
      </c>
      <c r="Q230" s="6">
        <v>76</v>
      </c>
      <c r="R230" s="6">
        <v>102</v>
      </c>
      <c r="S230" s="6">
        <v>107</v>
      </c>
      <c r="T230" s="6">
        <v>90</v>
      </c>
      <c r="U230" s="6">
        <v>108</v>
      </c>
      <c r="V230" s="6">
        <v>108</v>
      </c>
      <c r="W230" s="6">
        <v>91</v>
      </c>
      <c r="X230" s="6">
        <v>74</v>
      </c>
      <c r="Y230" s="6">
        <v>87</v>
      </c>
      <c r="Z230" s="6">
        <v>113</v>
      </c>
      <c r="AA230" s="6">
        <v>84</v>
      </c>
    </row>
    <row r="231" spans="1:27" s="5" customFormat="1" x14ac:dyDescent="0.2">
      <c r="B231" s="191"/>
      <c r="C231" s="15" t="s">
        <v>3</v>
      </c>
      <c r="D231" s="39">
        <v>1.8</v>
      </c>
      <c r="E231" s="39">
        <v>1.9</v>
      </c>
      <c r="F231" s="39">
        <v>1.1000000000000001</v>
      </c>
      <c r="G231" s="7">
        <v>1.3</v>
      </c>
      <c r="H231" s="7">
        <v>1</v>
      </c>
      <c r="I231" s="7">
        <v>1.1000000000000001</v>
      </c>
      <c r="J231" s="7">
        <v>1.5</v>
      </c>
      <c r="K231" s="7">
        <v>1.1000000000000001</v>
      </c>
      <c r="L231" s="7">
        <v>0.8</v>
      </c>
      <c r="M231" s="7">
        <v>1</v>
      </c>
      <c r="N231" s="7">
        <v>0.9</v>
      </c>
      <c r="O231" s="7">
        <v>1</v>
      </c>
      <c r="P231" s="7">
        <v>1.1000000000000001</v>
      </c>
      <c r="Q231" s="7">
        <v>0.9</v>
      </c>
      <c r="R231" s="7">
        <v>1</v>
      </c>
      <c r="S231" s="7">
        <v>1.2</v>
      </c>
      <c r="T231" s="7">
        <v>0.9</v>
      </c>
      <c r="U231" s="7">
        <v>1.2</v>
      </c>
      <c r="V231" s="7">
        <v>1.2</v>
      </c>
      <c r="W231" s="7">
        <v>1</v>
      </c>
      <c r="X231" s="7">
        <v>0.9</v>
      </c>
      <c r="Y231" s="7">
        <v>0.9</v>
      </c>
      <c r="Z231" s="7">
        <v>1.2</v>
      </c>
      <c r="AA231" s="7">
        <v>1.1000000000000001</v>
      </c>
    </row>
    <row r="232" spans="1:27" s="5" customFormat="1" x14ac:dyDescent="0.2">
      <c r="B232" s="190" t="s">
        <v>237</v>
      </c>
      <c r="C232" s="15" t="s">
        <v>2</v>
      </c>
      <c r="D232" s="39">
        <v>208518</v>
      </c>
      <c r="E232" s="39">
        <v>23267</v>
      </c>
      <c r="F232" s="39">
        <v>462</v>
      </c>
      <c r="G232" s="6">
        <v>47</v>
      </c>
      <c r="H232" s="6">
        <v>16</v>
      </c>
      <c r="I232" s="6">
        <v>16</v>
      </c>
      <c r="J232" s="6">
        <v>24</v>
      </c>
      <c r="K232" s="6">
        <v>22</v>
      </c>
      <c r="L232" s="6">
        <v>19</v>
      </c>
      <c r="M232" s="6">
        <v>24</v>
      </c>
      <c r="N232" s="6">
        <v>28</v>
      </c>
      <c r="O232" s="6">
        <v>19</v>
      </c>
      <c r="P232" s="6">
        <v>29</v>
      </c>
      <c r="Q232" s="6">
        <v>22</v>
      </c>
      <c r="R232" s="6">
        <v>21</v>
      </c>
      <c r="S232" s="6">
        <v>26</v>
      </c>
      <c r="T232" s="6">
        <v>10</v>
      </c>
      <c r="U232" s="6">
        <v>15</v>
      </c>
      <c r="V232" s="6">
        <v>17</v>
      </c>
      <c r="W232" s="6">
        <v>19</v>
      </c>
      <c r="X232" s="6">
        <v>27</v>
      </c>
      <c r="Y232" s="6">
        <v>23</v>
      </c>
      <c r="Z232" s="6">
        <v>20</v>
      </c>
      <c r="AA232" s="6">
        <v>18</v>
      </c>
    </row>
    <row r="233" spans="1:27" s="5" customFormat="1" x14ac:dyDescent="0.2">
      <c r="B233" s="191"/>
      <c r="C233" s="15" t="s">
        <v>3</v>
      </c>
      <c r="D233" s="39">
        <v>0.5</v>
      </c>
      <c r="E233" s="39">
        <v>0.5</v>
      </c>
      <c r="F233" s="39">
        <v>0.2</v>
      </c>
      <c r="G233" s="7">
        <v>0.5</v>
      </c>
      <c r="H233" s="7">
        <v>0.2</v>
      </c>
      <c r="I233" s="7">
        <v>0.2</v>
      </c>
      <c r="J233" s="7">
        <v>0.3</v>
      </c>
      <c r="K233" s="7">
        <v>0.2</v>
      </c>
      <c r="L233" s="7">
        <v>0.2</v>
      </c>
      <c r="M233" s="7">
        <v>0.3</v>
      </c>
      <c r="N233" s="7">
        <v>0.3</v>
      </c>
      <c r="O233" s="7">
        <v>0.2</v>
      </c>
      <c r="P233" s="7">
        <v>0.3</v>
      </c>
      <c r="Q233" s="7">
        <v>0.2</v>
      </c>
      <c r="R233" s="7">
        <v>0.2</v>
      </c>
      <c r="S233" s="7">
        <v>0.3</v>
      </c>
      <c r="T233" s="7">
        <v>0.1</v>
      </c>
      <c r="U233" s="7">
        <v>0.2</v>
      </c>
      <c r="V233" s="7">
        <v>0.2</v>
      </c>
      <c r="W233" s="7">
        <v>0.2</v>
      </c>
      <c r="X233" s="7">
        <v>0.3</v>
      </c>
      <c r="Y233" s="7">
        <v>0.2</v>
      </c>
      <c r="Z233" s="7">
        <v>0.2</v>
      </c>
      <c r="AA233" s="7">
        <v>0.2</v>
      </c>
    </row>
    <row r="234" spans="1:27" s="5" customFormat="1" x14ac:dyDescent="0.2">
      <c r="B234" s="190" t="s">
        <v>238</v>
      </c>
      <c r="C234" s="15" t="s">
        <v>2</v>
      </c>
      <c r="D234" s="39">
        <v>1340731</v>
      </c>
      <c r="E234" s="39">
        <v>141077</v>
      </c>
      <c r="F234" s="39">
        <v>2458</v>
      </c>
      <c r="G234" s="6">
        <v>202</v>
      </c>
      <c r="H234" s="6">
        <v>91</v>
      </c>
      <c r="I234" s="6">
        <v>86</v>
      </c>
      <c r="J234" s="6">
        <v>106</v>
      </c>
      <c r="K234" s="6">
        <v>126</v>
      </c>
      <c r="L234" s="6">
        <v>117</v>
      </c>
      <c r="M234" s="6">
        <v>107</v>
      </c>
      <c r="N234" s="6">
        <v>99</v>
      </c>
      <c r="O234" s="6">
        <v>134</v>
      </c>
      <c r="P234" s="6">
        <v>121</v>
      </c>
      <c r="Q234" s="6">
        <v>109</v>
      </c>
      <c r="R234" s="6">
        <v>110</v>
      </c>
      <c r="S234" s="6">
        <v>149</v>
      </c>
      <c r="T234" s="6">
        <v>137</v>
      </c>
      <c r="U234" s="6">
        <v>98</v>
      </c>
      <c r="V234" s="6">
        <v>103</v>
      </c>
      <c r="W234" s="6">
        <v>133</v>
      </c>
      <c r="X234" s="6">
        <v>110</v>
      </c>
      <c r="Y234" s="6">
        <v>126</v>
      </c>
      <c r="Z234" s="6">
        <v>91</v>
      </c>
      <c r="AA234" s="6">
        <v>103</v>
      </c>
    </row>
    <row r="235" spans="1:27" s="5" customFormat="1" x14ac:dyDescent="0.2">
      <c r="B235" s="191"/>
      <c r="C235" s="15" t="s">
        <v>3</v>
      </c>
      <c r="D235" s="39">
        <v>3.1</v>
      </c>
      <c r="E235" s="39">
        <v>3.3</v>
      </c>
      <c r="F235" s="39">
        <v>1.3</v>
      </c>
      <c r="G235" s="7">
        <v>2.2000000000000002</v>
      </c>
      <c r="H235" s="7">
        <v>1</v>
      </c>
      <c r="I235" s="7">
        <v>1</v>
      </c>
      <c r="J235" s="7">
        <v>1.2</v>
      </c>
      <c r="K235" s="7">
        <v>1.4</v>
      </c>
      <c r="L235" s="7">
        <v>1.4</v>
      </c>
      <c r="M235" s="7">
        <v>1.1000000000000001</v>
      </c>
      <c r="N235" s="7">
        <v>1.2</v>
      </c>
      <c r="O235" s="7">
        <v>1.4</v>
      </c>
      <c r="P235" s="7">
        <v>1.4</v>
      </c>
      <c r="Q235" s="7">
        <v>1.2</v>
      </c>
      <c r="R235" s="7">
        <v>1</v>
      </c>
      <c r="S235" s="7">
        <v>1.7</v>
      </c>
      <c r="T235" s="7">
        <v>1.4</v>
      </c>
      <c r="U235" s="7">
        <v>1.1000000000000001</v>
      </c>
      <c r="V235" s="7">
        <v>1.1000000000000001</v>
      </c>
      <c r="W235" s="7">
        <v>1.5</v>
      </c>
      <c r="X235" s="7">
        <v>1.4</v>
      </c>
      <c r="Y235" s="7">
        <v>1.3</v>
      </c>
      <c r="Z235" s="7">
        <v>1</v>
      </c>
      <c r="AA235" s="7">
        <v>1.3</v>
      </c>
    </row>
    <row r="236" spans="1:27" s="5" customFormat="1" x14ac:dyDescent="0.2">
      <c r="A236" s="5" t="s">
        <v>311</v>
      </c>
      <c r="B236" s="192" t="s">
        <v>307</v>
      </c>
      <c r="C236" s="18" t="s">
        <v>2</v>
      </c>
      <c r="D236" s="39">
        <v>22063368</v>
      </c>
      <c r="E236" s="39">
        <v>2224059</v>
      </c>
      <c r="F236" s="39">
        <v>100734</v>
      </c>
      <c r="G236" s="1">
        <v>5248</v>
      </c>
      <c r="H236" s="1">
        <v>4620</v>
      </c>
      <c r="I236" s="1">
        <v>4577</v>
      </c>
      <c r="J236" s="1">
        <v>4595</v>
      </c>
      <c r="K236" s="1">
        <v>4590</v>
      </c>
      <c r="L236" s="1">
        <v>4666</v>
      </c>
      <c r="M236" s="1">
        <v>4957</v>
      </c>
      <c r="N236" s="1">
        <v>4378</v>
      </c>
      <c r="O236" s="1">
        <v>5112</v>
      </c>
      <c r="P236" s="1">
        <v>4982</v>
      </c>
      <c r="Q236" s="1">
        <v>4725</v>
      </c>
      <c r="R236" s="1">
        <v>5511</v>
      </c>
      <c r="S236" s="1">
        <v>4798</v>
      </c>
      <c r="T236" s="1">
        <v>4953</v>
      </c>
      <c r="U236" s="1">
        <v>4878</v>
      </c>
      <c r="V236" s="1">
        <v>4920</v>
      </c>
      <c r="W236" s="1">
        <v>4583</v>
      </c>
      <c r="X236" s="1">
        <v>4350</v>
      </c>
      <c r="Y236" s="1">
        <v>5024</v>
      </c>
      <c r="Z236" s="1">
        <v>4965</v>
      </c>
      <c r="AA236" s="1">
        <v>4302</v>
      </c>
    </row>
    <row r="237" spans="1:27" s="5" customFormat="1" x14ac:dyDescent="0.2">
      <c r="B237" s="193"/>
      <c r="C237" s="18" t="s">
        <v>3</v>
      </c>
      <c r="D237" s="39">
        <v>100</v>
      </c>
      <c r="E237" s="39">
        <v>100</v>
      </c>
      <c r="F237" s="39">
        <v>100</v>
      </c>
      <c r="G237" s="2">
        <v>100</v>
      </c>
      <c r="H237" s="2">
        <v>100</v>
      </c>
      <c r="I237" s="2">
        <v>100</v>
      </c>
      <c r="J237" s="2">
        <v>100</v>
      </c>
      <c r="K237" s="2">
        <v>100</v>
      </c>
      <c r="L237" s="2">
        <v>100</v>
      </c>
      <c r="M237" s="2">
        <v>100</v>
      </c>
      <c r="N237" s="2">
        <v>100</v>
      </c>
      <c r="O237" s="2">
        <v>100</v>
      </c>
      <c r="P237" s="2">
        <v>100</v>
      </c>
      <c r="Q237" s="2">
        <v>100</v>
      </c>
      <c r="R237" s="2">
        <v>100</v>
      </c>
      <c r="S237" s="2">
        <v>100</v>
      </c>
      <c r="T237" s="2">
        <v>100</v>
      </c>
      <c r="U237" s="2">
        <v>100</v>
      </c>
      <c r="V237" s="2">
        <v>100</v>
      </c>
      <c r="W237" s="2">
        <v>100</v>
      </c>
      <c r="X237" s="2">
        <v>100</v>
      </c>
      <c r="Y237" s="2">
        <v>100</v>
      </c>
      <c r="Z237" s="2">
        <v>100</v>
      </c>
      <c r="AA237" s="2">
        <v>100</v>
      </c>
    </row>
    <row r="238" spans="1:27" s="5" customFormat="1" x14ac:dyDescent="0.2">
      <c r="B238" s="192" t="s">
        <v>308</v>
      </c>
      <c r="C238" s="18" t="s">
        <v>2</v>
      </c>
      <c r="D238" s="39">
        <v>6666493</v>
      </c>
      <c r="E238" s="39">
        <v>679399</v>
      </c>
      <c r="F238" s="39">
        <v>29734</v>
      </c>
      <c r="G238" s="1">
        <v>1906</v>
      </c>
      <c r="H238" s="1">
        <v>1284</v>
      </c>
      <c r="I238" s="1">
        <v>1203</v>
      </c>
      <c r="J238" s="1">
        <v>1242</v>
      </c>
      <c r="K238" s="1">
        <v>1228</v>
      </c>
      <c r="L238" s="1">
        <v>1546</v>
      </c>
      <c r="M238" s="1">
        <v>1329</v>
      </c>
      <c r="N238" s="1">
        <v>1302</v>
      </c>
      <c r="O238" s="1">
        <v>1479</v>
      </c>
      <c r="P238" s="1">
        <v>1865</v>
      </c>
      <c r="Q238" s="1">
        <v>1418</v>
      </c>
      <c r="R238" s="1">
        <v>1487</v>
      </c>
      <c r="S238" s="1">
        <v>1512</v>
      </c>
      <c r="T238" s="1">
        <v>1201</v>
      </c>
      <c r="U238" s="1">
        <v>1311</v>
      </c>
      <c r="V238" s="1">
        <v>1443</v>
      </c>
      <c r="W238" s="1">
        <v>1340</v>
      </c>
      <c r="X238" s="1">
        <v>1335</v>
      </c>
      <c r="Y238" s="1">
        <v>1487</v>
      </c>
      <c r="Z238" s="1">
        <v>1468</v>
      </c>
      <c r="AA238" s="1">
        <v>1348</v>
      </c>
    </row>
    <row r="239" spans="1:27" s="5" customFormat="1" x14ac:dyDescent="0.2">
      <c r="B239" s="193"/>
      <c r="C239" s="18" t="s">
        <v>3</v>
      </c>
      <c r="D239" s="39">
        <v>30.2</v>
      </c>
      <c r="E239" s="39">
        <v>30.5</v>
      </c>
      <c r="F239" s="39">
        <v>29.5</v>
      </c>
      <c r="G239" s="2">
        <v>36.299999999999997</v>
      </c>
      <c r="H239" s="2">
        <v>27.8</v>
      </c>
      <c r="I239" s="2">
        <v>26.3</v>
      </c>
      <c r="J239" s="2">
        <v>27</v>
      </c>
      <c r="K239" s="2">
        <v>26.8</v>
      </c>
      <c r="L239" s="2">
        <v>33.1</v>
      </c>
      <c r="M239" s="2">
        <v>26.8</v>
      </c>
      <c r="N239" s="2">
        <v>29.7</v>
      </c>
      <c r="O239" s="2">
        <v>28.9</v>
      </c>
      <c r="P239" s="2">
        <v>37.4</v>
      </c>
      <c r="Q239" s="2">
        <v>30</v>
      </c>
      <c r="R239" s="2">
        <v>27</v>
      </c>
      <c r="S239" s="2">
        <v>31.5</v>
      </c>
      <c r="T239" s="2">
        <v>24.2</v>
      </c>
      <c r="U239" s="2">
        <v>26.9</v>
      </c>
      <c r="V239" s="2">
        <v>29.3</v>
      </c>
      <c r="W239" s="2">
        <v>29.2</v>
      </c>
      <c r="X239" s="2">
        <v>30.7</v>
      </c>
      <c r="Y239" s="2">
        <v>29.6</v>
      </c>
      <c r="Z239" s="2">
        <v>29.6</v>
      </c>
      <c r="AA239" s="2">
        <v>31.3</v>
      </c>
    </row>
    <row r="240" spans="1:27" s="5" customFormat="1" x14ac:dyDescent="0.2">
      <c r="B240" s="192" t="s">
        <v>309</v>
      </c>
      <c r="C240" s="18" t="s">
        <v>2</v>
      </c>
      <c r="D240" s="39">
        <v>13631182</v>
      </c>
      <c r="E240" s="39">
        <v>1394564</v>
      </c>
      <c r="F240" s="39">
        <v>66621</v>
      </c>
      <c r="G240" s="1">
        <v>3043</v>
      </c>
      <c r="H240" s="1">
        <v>3132</v>
      </c>
      <c r="I240" s="1">
        <v>3179</v>
      </c>
      <c r="J240" s="1">
        <v>3194</v>
      </c>
      <c r="K240" s="1">
        <v>3194</v>
      </c>
      <c r="L240" s="1">
        <v>2921</v>
      </c>
      <c r="M240" s="1">
        <v>3394</v>
      </c>
      <c r="N240" s="1">
        <v>2924</v>
      </c>
      <c r="O240" s="1">
        <v>3410</v>
      </c>
      <c r="P240" s="1">
        <v>2811</v>
      </c>
      <c r="Q240" s="1">
        <v>3072</v>
      </c>
      <c r="R240" s="1">
        <v>3763</v>
      </c>
      <c r="S240" s="1">
        <v>3060</v>
      </c>
      <c r="T240" s="1">
        <v>3603</v>
      </c>
      <c r="U240" s="1">
        <v>3389</v>
      </c>
      <c r="V240" s="1">
        <v>3292</v>
      </c>
      <c r="W240" s="1">
        <v>3072</v>
      </c>
      <c r="X240" s="1">
        <v>2810</v>
      </c>
      <c r="Y240" s="1">
        <v>3306</v>
      </c>
      <c r="Z240" s="1">
        <v>3271</v>
      </c>
      <c r="AA240" s="1">
        <v>2781</v>
      </c>
    </row>
    <row r="241" spans="1:27" s="5" customFormat="1" x14ac:dyDescent="0.2">
      <c r="B241" s="193"/>
      <c r="C241" s="18" t="s">
        <v>3</v>
      </c>
      <c r="D241" s="39">
        <v>61.8</v>
      </c>
      <c r="E241" s="39">
        <v>62.7</v>
      </c>
      <c r="F241" s="39">
        <v>66.099999999999994</v>
      </c>
      <c r="G241" s="2">
        <v>58</v>
      </c>
      <c r="H241" s="2">
        <v>67.8</v>
      </c>
      <c r="I241" s="2">
        <v>69.5</v>
      </c>
      <c r="J241" s="2">
        <v>69.5</v>
      </c>
      <c r="K241" s="2">
        <v>69.599999999999994</v>
      </c>
      <c r="L241" s="2">
        <v>62.6</v>
      </c>
      <c r="M241" s="2">
        <v>68.5</v>
      </c>
      <c r="N241" s="2">
        <v>66.8</v>
      </c>
      <c r="O241" s="2">
        <v>66.7</v>
      </c>
      <c r="P241" s="2">
        <v>56.4</v>
      </c>
      <c r="Q241" s="2">
        <v>65</v>
      </c>
      <c r="R241" s="2">
        <v>68.3</v>
      </c>
      <c r="S241" s="2">
        <v>63.8</v>
      </c>
      <c r="T241" s="2">
        <v>72.7</v>
      </c>
      <c r="U241" s="2">
        <v>69.5</v>
      </c>
      <c r="V241" s="2">
        <v>66.900000000000006</v>
      </c>
      <c r="W241" s="2">
        <v>67</v>
      </c>
      <c r="X241" s="2">
        <v>64.599999999999994</v>
      </c>
      <c r="Y241" s="2">
        <v>65.8</v>
      </c>
      <c r="Z241" s="2">
        <v>65.900000000000006</v>
      </c>
      <c r="AA241" s="2">
        <v>64.599999999999994</v>
      </c>
    </row>
    <row r="242" spans="1:27" s="5" customFormat="1" x14ac:dyDescent="0.2">
      <c r="B242" s="192" t="s">
        <v>310</v>
      </c>
      <c r="C242" s="18" t="s">
        <v>2</v>
      </c>
      <c r="D242" s="39">
        <v>1765693</v>
      </c>
      <c r="E242" s="39">
        <v>150096</v>
      </c>
      <c r="F242" s="39">
        <v>4379</v>
      </c>
      <c r="G242" s="1">
        <v>299</v>
      </c>
      <c r="H242" s="1">
        <v>204</v>
      </c>
      <c r="I242" s="1">
        <v>195</v>
      </c>
      <c r="J242" s="1">
        <v>159</v>
      </c>
      <c r="K242" s="1">
        <v>168</v>
      </c>
      <c r="L242" s="1">
        <v>199</v>
      </c>
      <c r="M242" s="1">
        <v>234</v>
      </c>
      <c r="N242" s="1">
        <v>152</v>
      </c>
      <c r="O242" s="1">
        <v>223</v>
      </c>
      <c r="P242" s="1">
        <v>306</v>
      </c>
      <c r="Q242" s="1">
        <v>235</v>
      </c>
      <c r="R242" s="1">
        <v>261</v>
      </c>
      <c r="S242" s="1">
        <v>226</v>
      </c>
      <c r="T242" s="1">
        <v>149</v>
      </c>
      <c r="U242" s="1">
        <v>178</v>
      </c>
      <c r="V242" s="1">
        <v>185</v>
      </c>
      <c r="W242" s="1">
        <v>171</v>
      </c>
      <c r="X242" s="1">
        <v>205</v>
      </c>
      <c r="Y242" s="1">
        <v>231</v>
      </c>
      <c r="Z242" s="1">
        <v>226</v>
      </c>
      <c r="AA242" s="1">
        <v>173</v>
      </c>
    </row>
    <row r="243" spans="1:27" s="5" customFormat="1" x14ac:dyDescent="0.2">
      <c r="B243" s="193"/>
      <c r="C243" s="18" t="s">
        <v>3</v>
      </c>
      <c r="D243" s="39">
        <v>8</v>
      </c>
      <c r="E243" s="39">
        <v>6.7</v>
      </c>
      <c r="F243" s="39">
        <v>4.3</v>
      </c>
      <c r="G243" s="2">
        <v>5.7</v>
      </c>
      <c r="H243" s="2">
        <v>4.4000000000000004</v>
      </c>
      <c r="I243" s="2">
        <v>4.3</v>
      </c>
      <c r="J243" s="2">
        <v>3.5</v>
      </c>
      <c r="K243" s="2">
        <v>3.7</v>
      </c>
      <c r="L243" s="2">
        <v>4.3</v>
      </c>
      <c r="M243" s="2">
        <v>4.7</v>
      </c>
      <c r="N243" s="2">
        <v>3.5</v>
      </c>
      <c r="O243" s="2">
        <v>4.4000000000000004</v>
      </c>
      <c r="P243" s="2">
        <v>6.1</v>
      </c>
      <c r="Q243" s="2">
        <v>5</v>
      </c>
      <c r="R243" s="2">
        <v>4.7</v>
      </c>
      <c r="S243" s="2">
        <v>4.7</v>
      </c>
      <c r="T243" s="2">
        <v>3</v>
      </c>
      <c r="U243" s="2">
        <v>3.6</v>
      </c>
      <c r="V243" s="2">
        <v>3.8</v>
      </c>
      <c r="W243" s="2">
        <v>3.7</v>
      </c>
      <c r="X243" s="2">
        <v>4.7</v>
      </c>
      <c r="Y243" s="2">
        <v>4.5999999999999996</v>
      </c>
      <c r="Z243" s="2">
        <v>4.5999999999999996</v>
      </c>
      <c r="AA243" s="2">
        <v>4</v>
      </c>
    </row>
    <row r="244" spans="1:27" s="5" customFormat="1" x14ac:dyDescent="0.2">
      <c r="A244" s="5" t="s">
        <v>167</v>
      </c>
      <c r="B244" s="190" t="s">
        <v>157</v>
      </c>
      <c r="C244" s="15" t="s">
        <v>2</v>
      </c>
      <c r="D244" s="39">
        <v>42077356</v>
      </c>
      <c r="E244" s="39">
        <v>4190549</v>
      </c>
      <c r="F244" s="39">
        <v>186674</v>
      </c>
      <c r="G244" s="6">
        <v>9195</v>
      </c>
      <c r="H244" s="6">
        <v>8688</v>
      </c>
      <c r="I244" s="6">
        <v>8587</v>
      </c>
      <c r="J244" s="6">
        <v>8633</v>
      </c>
      <c r="K244" s="6">
        <v>8777</v>
      </c>
      <c r="L244" s="6">
        <v>8362</v>
      </c>
      <c r="M244" s="6">
        <v>9395</v>
      </c>
      <c r="N244" s="6">
        <v>8192</v>
      </c>
      <c r="O244" s="6">
        <v>9540</v>
      </c>
      <c r="P244" s="6">
        <v>8525</v>
      </c>
      <c r="Q244" s="6">
        <v>8740</v>
      </c>
      <c r="R244" s="6">
        <v>10365</v>
      </c>
      <c r="S244" s="6">
        <v>8741</v>
      </c>
      <c r="T244" s="6">
        <v>9601</v>
      </c>
      <c r="U244" s="6">
        <v>9267</v>
      </c>
      <c r="V244" s="6">
        <v>9110</v>
      </c>
      <c r="W244" s="6">
        <v>8634</v>
      </c>
      <c r="X244" s="6">
        <v>8017</v>
      </c>
      <c r="Y244" s="6">
        <v>9277</v>
      </c>
      <c r="Z244" s="6">
        <v>9139</v>
      </c>
      <c r="AA244" s="6">
        <v>7889</v>
      </c>
    </row>
    <row r="245" spans="1:27" s="5" customFormat="1" x14ac:dyDescent="0.2">
      <c r="B245" s="191"/>
      <c r="C245" s="15" t="s">
        <v>3</v>
      </c>
      <c r="D245" s="39">
        <v>100</v>
      </c>
      <c r="E245" s="39">
        <v>100</v>
      </c>
      <c r="F245" s="39">
        <v>100</v>
      </c>
      <c r="G245" s="7">
        <v>100</v>
      </c>
      <c r="H245" s="7">
        <v>100</v>
      </c>
      <c r="I245" s="7">
        <v>100</v>
      </c>
      <c r="J245" s="7">
        <v>100</v>
      </c>
      <c r="K245" s="7">
        <v>100</v>
      </c>
      <c r="L245" s="7">
        <v>100</v>
      </c>
      <c r="M245" s="7">
        <v>100</v>
      </c>
      <c r="N245" s="7">
        <v>100</v>
      </c>
      <c r="O245" s="7">
        <v>100</v>
      </c>
      <c r="P245" s="7">
        <v>100</v>
      </c>
      <c r="Q245" s="7">
        <v>100</v>
      </c>
      <c r="R245" s="7">
        <v>100</v>
      </c>
      <c r="S245" s="7">
        <v>100</v>
      </c>
      <c r="T245" s="7">
        <v>100</v>
      </c>
      <c r="U245" s="7">
        <v>100</v>
      </c>
      <c r="V245" s="7">
        <v>100</v>
      </c>
      <c r="W245" s="7">
        <v>100</v>
      </c>
      <c r="X245" s="7">
        <v>100</v>
      </c>
      <c r="Y245" s="7">
        <v>100</v>
      </c>
      <c r="Z245" s="7">
        <v>100</v>
      </c>
      <c r="AA245" s="7">
        <v>100</v>
      </c>
    </row>
    <row r="246" spans="1:27" s="5" customFormat="1" x14ac:dyDescent="0.2">
      <c r="B246" s="190" t="s">
        <v>158</v>
      </c>
      <c r="C246" s="15" t="s">
        <v>2</v>
      </c>
      <c r="D246" s="39">
        <v>24321304</v>
      </c>
      <c r="E246" s="39">
        <v>2474053</v>
      </c>
      <c r="F246" s="39">
        <v>114804</v>
      </c>
      <c r="G246" s="6">
        <v>5251</v>
      </c>
      <c r="H246" s="6">
        <v>5288</v>
      </c>
      <c r="I246" s="6">
        <v>5485</v>
      </c>
      <c r="J246" s="6">
        <v>5675</v>
      </c>
      <c r="K246" s="6">
        <v>5774</v>
      </c>
      <c r="L246" s="6">
        <v>4648</v>
      </c>
      <c r="M246" s="6">
        <v>5700</v>
      </c>
      <c r="N246" s="6">
        <v>5319</v>
      </c>
      <c r="O246" s="6">
        <v>5977</v>
      </c>
      <c r="P246" s="6">
        <v>4507</v>
      </c>
      <c r="Q246" s="6">
        <v>5269</v>
      </c>
      <c r="R246" s="6">
        <v>6441</v>
      </c>
      <c r="S246" s="6">
        <v>5318</v>
      </c>
      <c r="T246" s="6">
        <v>6807</v>
      </c>
      <c r="U246" s="6">
        <v>6210</v>
      </c>
      <c r="V246" s="6">
        <v>5674</v>
      </c>
      <c r="W246" s="6">
        <v>5316</v>
      </c>
      <c r="X246" s="6">
        <v>4399</v>
      </c>
      <c r="Y246" s="6">
        <v>5580</v>
      </c>
      <c r="Z246" s="6">
        <v>5556</v>
      </c>
      <c r="AA246" s="6">
        <v>4610</v>
      </c>
    </row>
    <row r="247" spans="1:27" s="5" customFormat="1" x14ac:dyDescent="0.2">
      <c r="B247" s="191"/>
      <c r="C247" s="15" t="s">
        <v>3</v>
      </c>
      <c r="D247" s="39">
        <v>57.8</v>
      </c>
      <c r="E247" s="39">
        <v>59</v>
      </c>
      <c r="F247" s="39">
        <v>61.5</v>
      </c>
      <c r="G247" s="7">
        <v>57.1</v>
      </c>
      <c r="H247" s="7">
        <v>60.9</v>
      </c>
      <c r="I247" s="7">
        <v>63.9</v>
      </c>
      <c r="J247" s="7">
        <v>65.7</v>
      </c>
      <c r="K247" s="7">
        <v>65.8</v>
      </c>
      <c r="L247" s="7">
        <v>55.6</v>
      </c>
      <c r="M247" s="7">
        <v>60.7</v>
      </c>
      <c r="N247" s="7">
        <v>64.900000000000006</v>
      </c>
      <c r="O247" s="7">
        <v>62.7</v>
      </c>
      <c r="P247" s="7">
        <v>52.9</v>
      </c>
      <c r="Q247" s="7">
        <v>60.3</v>
      </c>
      <c r="R247" s="7">
        <v>62.1</v>
      </c>
      <c r="S247" s="7">
        <v>60.8</v>
      </c>
      <c r="T247" s="7">
        <v>70.900000000000006</v>
      </c>
      <c r="U247" s="7">
        <v>67</v>
      </c>
      <c r="V247" s="7">
        <v>62.3</v>
      </c>
      <c r="W247" s="7">
        <v>61.6</v>
      </c>
      <c r="X247" s="7">
        <v>54.9</v>
      </c>
      <c r="Y247" s="7">
        <v>60.1</v>
      </c>
      <c r="Z247" s="7">
        <v>60.8</v>
      </c>
      <c r="AA247" s="7">
        <v>58.4</v>
      </c>
    </row>
    <row r="248" spans="1:27" s="5" customFormat="1" x14ac:dyDescent="0.2">
      <c r="B248" s="190" t="s">
        <v>159</v>
      </c>
      <c r="C248" s="15" t="s">
        <v>2</v>
      </c>
      <c r="D248" s="39">
        <v>19296455</v>
      </c>
      <c r="E248" s="39">
        <v>1937452</v>
      </c>
      <c r="F248" s="39">
        <v>87674</v>
      </c>
      <c r="G248" s="6">
        <v>3655</v>
      </c>
      <c r="H248" s="6">
        <v>3972</v>
      </c>
      <c r="I248" s="6">
        <v>4276</v>
      </c>
      <c r="J248" s="6">
        <v>4520</v>
      </c>
      <c r="K248" s="6">
        <v>4708</v>
      </c>
      <c r="L248" s="6">
        <v>3444</v>
      </c>
      <c r="M248" s="6">
        <v>4258</v>
      </c>
      <c r="N248" s="6">
        <v>4430</v>
      </c>
      <c r="O248" s="6">
        <v>4388</v>
      </c>
      <c r="P248" s="6">
        <v>2958</v>
      </c>
      <c r="Q248" s="6">
        <v>4036</v>
      </c>
      <c r="R248" s="6">
        <v>4759</v>
      </c>
      <c r="S248" s="6">
        <v>4036</v>
      </c>
      <c r="T248" s="6">
        <v>5846</v>
      </c>
      <c r="U248" s="6">
        <v>4978</v>
      </c>
      <c r="V248" s="6">
        <v>4444</v>
      </c>
      <c r="W248" s="6">
        <v>4180</v>
      </c>
      <c r="X248" s="6">
        <v>3118</v>
      </c>
      <c r="Y248" s="6">
        <v>4048</v>
      </c>
      <c r="Z248" s="6">
        <v>4096</v>
      </c>
      <c r="AA248" s="6">
        <v>3524</v>
      </c>
    </row>
    <row r="249" spans="1:27" s="5" customFormat="1" x14ac:dyDescent="0.2">
      <c r="B249" s="191"/>
      <c r="C249" s="15" t="s">
        <v>3</v>
      </c>
      <c r="D249" s="39">
        <v>45.9</v>
      </c>
      <c r="E249" s="39">
        <v>46.2</v>
      </c>
      <c r="F249" s="39">
        <v>47</v>
      </c>
      <c r="G249" s="7">
        <v>39.700000000000003</v>
      </c>
      <c r="H249" s="7">
        <v>45.7</v>
      </c>
      <c r="I249" s="7">
        <v>49.8</v>
      </c>
      <c r="J249" s="7">
        <v>52.4</v>
      </c>
      <c r="K249" s="7">
        <v>53.6</v>
      </c>
      <c r="L249" s="7">
        <v>41.2</v>
      </c>
      <c r="M249" s="7">
        <v>45.3</v>
      </c>
      <c r="N249" s="7">
        <v>54.1</v>
      </c>
      <c r="O249" s="7">
        <v>46</v>
      </c>
      <c r="P249" s="7">
        <v>34.700000000000003</v>
      </c>
      <c r="Q249" s="7">
        <v>46.2</v>
      </c>
      <c r="R249" s="7">
        <v>45.9</v>
      </c>
      <c r="S249" s="7">
        <v>46.2</v>
      </c>
      <c r="T249" s="7">
        <v>60.9</v>
      </c>
      <c r="U249" s="7">
        <v>53.7</v>
      </c>
      <c r="V249" s="7">
        <v>48.8</v>
      </c>
      <c r="W249" s="7">
        <v>48.4</v>
      </c>
      <c r="X249" s="7">
        <v>38.9</v>
      </c>
      <c r="Y249" s="7">
        <v>43.6</v>
      </c>
      <c r="Z249" s="7">
        <v>44.8</v>
      </c>
      <c r="AA249" s="7">
        <v>44.7</v>
      </c>
    </row>
    <row r="250" spans="1:27" s="5" customFormat="1" x14ac:dyDescent="0.2">
      <c r="B250" s="190" t="s">
        <v>160</v>
      </c>
      <c r="C250" s="15" t="s">
        <v>2</v>
      </c>
      <c r="D250" s="39">
        <v>5024849</v>
      </c>
      <c r="E250" s="39">
        <v>536601</v>
      </c>
      <c r="F250" s="39">
        <v>27130</v>
      </c>
      <c r="G250" s="6">
        <v>1596</v>
      </c>
      <c r="H250" s="6">
        <v>1316</v>
      </c>
      <c r="I250" s="6">
        <v>1209</v>
      </c>
      <c r="J250" s="6">
        <v>1155</v>
      </c>
      <c r="K250" s="6">
        <v>1066</v>
      </c>
      <c r="L250" s="6">
        <v>1204</v>
      </c>
      <c r="M250" s="6">
        <v>1442</v>
      </c>
      <c r="N250" s="6">
        <v>889</v>
      </c>
      <c r="O250" s="6">
        <v>1589</v>
      </c>
      <c r="P250" s="6">
        <v>1549</v>
      </c>
      <c r="Q250" s="6">
        <v>1233</v>
      </c>
      <c r="R250" s="6">
        <v>1682</v>
      </c>
      <c r="S250" s="6">
        <v>1282</v>
      </c>
      <c r="T250" s="6">
        <v>961</v>
      </c>
      <c r="U250" s="6">
        <v>1232</v>
      </c>
      <c r="V250" s="6">
        <v>1230</v>
      </c>
      <c r="W250" s="6">
        <v>1136</v>
      </c>
      <c r="X250" s="6">
        <v>1281</v>
      </c>
      <c r="Y250" s="6">
        <v>1532</v>
      </c>
      <c r="Z250" s="6">
        <v>1460</v>
      </c>
      <c r="AA250" s="6">
        <v>1086</v>
      </c>
    </row>
    <row r="251" spans="1:27" s="5" customFormat="1" x14ac:dyDescent="0.2">
      <c r="B251" s="191"/>
      <c r="C251" s="15" t="s">
        <v>3</v>
      </c>
      <c r="D251" s="39">
        <v>11.9</v>
      </c>
      <c r="E251" s="39">
        <v>12.8</v>
      </c>
      <c r="F251" s="39">
        <v>14.5</v>
      </c>
      <c r="G251" s="7">
        <v>17.399999999999999</v>
      </c>
      <c r="H251" s="7">
        <v>15.1</v>
      </c>
      <c r="I251" s="7">
        <v>14.1</v>
      </c>
      <c r="J251" s="7">
        <v>13.4</v>
      </c>
      <c r="K251" s="7">
        <v>12.1</v>
      </c>
      <c r="L251" s="7">
        <v>14.4</v>
      </c>
      <c r="M251" s="7">
        <v>15.3</v>
      </c>
      <c r="N251" s="7">
        <v>10.9</v>
      </c>
      <c r="O251" s="7">
        <v>16.7</v>
      </c>
      <c r="P251" s="7">
        <v>18.2</v>
      </c>
      <c r="Q251" s="7">
        <v>14.1</v>
      </c>
      <c r="R251" s="7">
        <v>16.2</v>
      </c>
      <c r="S251" s="7">
        <v>14.7</v>
      </c>
      <c r="T251" s="7">
        <v>10</v>
      </c>
      <c r="U251" s="7">
        <v>13.3</v>
      </c>
      <c r="V251" s="7">
        <v>13.5</v>
      </c>
      <c r="W251" s="7">
        <v>13.2</v>
      </c>
      <c r="X251" s="7">
        <v>16</v>
      </c>
      <c r="Y251" s="7">
        <v>16.5</v>
      </c>
      <c r="Z251" s="7">
        <v>16</v>
      </c>
      <c r="AA251" s="7">
        <v>13.8</v>
      </c>
    </row>
    <row r="252" spans="1:27" s="5" customFormat="1" x14ac:dyDescent="0.2">
      <c r="B252" s="190" t="s">
        <v>161</v>
      </c>
      <c r="C252" s="15" t="s">
        <v>2</v>
      </c>
      <c r="D252" s="39">
        <v>17756052</v>
      </c>
      <c r="E252" s="39">
        <v>1716496</v>
      </c>
      <c r="F252" s="39">
        <v>71870</v>
      </c>
      <c r="G252" s="6">
        <v>3944</v>
      </c>
      <c r="H252" s="6">
        <v>3400</v>
      </c>
      <c r="I252" s="6">
        <v>3102</v>
      </c>
      <c r="J252" s="6">
        <v>2958</v>
      </c>
      <c r="K252" s="6">
        <v>3003</v>
      </c>
      <c r="L252" s="6">
        <v>3714</v>
      </c>
      <c r="M252" s="6">
        <v>3695</v>
      </c>
      <c r="N252" s="6">
        <v>2873</v>
      </c>
      <c r="O252" s="6">
        <v>3563</v>
      </c>
      <c r="P252" s="6">
        <v>4018</v>
      </c>
      <c r="Q252" s="6">
        <v>3471</v>
      </c>
      <c r="R252" s="6">
        <v>3924</v>
      </c>
      <c r="S252" s="6">
        <v>3423</v>
      </c>
      <c r="T252" s="6">
        <v>2794</v>
      </c>
      <c r="U252" s="6">
        <v>3057</v>
      </c>
      <c r="V252" s="6">
        <v>3436</v>
      </c>
      <c r="W252" s="6">
        <v>3318</v>
      </c>
      <c r="X252" s="6">
        <v>3618</v>
      </c>
      <c r="Y252" s="6">
        <v>3697</v>
      </c>
      <c r="Z252" s="6">
        <v>3583</v>
      </c>
      <c r="AA252" s="6">
        <v>3279</v>
      </c>
    </row>
    <row r="253" spans="1:27" s="5" customFormat="1" x14ac:dyDescent="0.2">
      <c r="B253" s="191"/>
      <c r="C253" s="15" t="s">
        <v>3</v>
      </c>
      <c r="D253" s="39">
        <v>42.2</v>
      </c>
      <c r="E253" s="39">
        <v>41</v>
      </c>
      <c r="F253" s="39">
        <v>38.5</v>
      </c>
      <c r="G253" s="7">
        <v>42.9</v>
      </c>
      <c r="H253" s="7">
        <v>39.1</v>
      </c>
      <c r="I253" s="7">
        <v>36.1</v>
      </c>
      <c r="J253" s="7">
        <v>34.299999999999997</v>
      </c>
      <c r="K253" s="7">
        <v>34.200000000000003</v>
      </c>
      <c r="L253" s="7">
        <v>44.4</v>
      </c>
      <c r="M253" s="7">
        <v>39.299999999999997</v>
      </c>
      <c r="N253" s="7">
        <v>35.1</v>
      </c>
      <c r="O253" s="7">
        <v>37.299999999999997</v>
      </c>
      <c r="P253" s="7">
        <v>47.1</v>
      </c>
      <c r="Q253" s="7">
        <v>39.700000000000003</v>
      </c>
      <c r="R253" s="7">
        <v>37.9</v>
      </c>
      <c r="S253" s="7">
        <v>39.200000000000003</v>
      </c>
      <c r="T253" s="7">
        <v>29.1</v>
      </c>
      <c r="U253" s="7">
        <v>33</v>
      </c>
      <c r="V253" s="7">
        <v>37.700000000000003</v>
      </c>
      <c r="W253" s="7">
        <v>38.4</v>
      </c>
      <c r="X253" s="7">
        <v>45.1</v>
      </c>
      <c r="Y253" s="7">
        <v>39.9</v>
      </c>
      <c r="Z253" s="7">
        <v>39.200000000000003</v>
      </c>
      <c r="AA253" s="7">
        <v>41.6</v>
      </c>
    </row>
    <row r="254" spans="1:27" s="5" customFormat="1" x14ac:dyDescent="0.2">
      <c r="B254" s="190" t="s">
        <v>162</v>
      </c>
      <c r="C254" s="15" t="s">
        <v>2</v>
      </c>
      <c r="D254" s="39">
        <v>10862019</v>
      </c>
      <c r="E254" s="39">
        <v>1027115</v>
      </c>
      <c r="F254" s="39">
        <v>40420</v>
      </c>
      <c r="G254" s="6">
        <v>2321</v>
      </c>
      <c r="H254" s="6">
        <v>1990</v>
      </c>
      <c r="I254" s="6">
        <v>1680</v>
      </c>
      <c r="J254" s="6">
        <v>1646</v>
      </c>
      <c r="K254" s="6">
        <v>1614</v>
      </c>
      <c r="L254" s="6">
        <v>2133</v>
      </c>
      <c r="M254" s="6">
        <v>2135</v>
      </c>
      <c r="N254" s="6">
        <v>1536</v>
      </c>
      <c r="O254" s="6">
        <v>2022</v>
      </c>
      <c r="P254" s="6">
        <v>2337</v>
      </c>
      <c r="Q254" s="6">
        <v>1882</v>
      </c>
      <c r="R254" s="6">
        <v>2228</v>
      </c>
      <c r="S254" s="6">
        <v>2001</v>
      </c>
      <c r="T254" s="6">
        <v>1460</v>
      </c>
      <c r="U254" s="6">
        <v>1691</v>
      </c>
      <c r="V254" s="6">
        <v>1896</v>
      </c>
      <c r="W254" s="6">
        <v>1895</v>
      </c>
      <c r="X254" s="6">
        <v>2038</v>
      </c>
      <c r="Y254" s="6">
        <v>2067</v>
      </c>
      <c r="Z254" s="6">
        <v>2009</v>
      </c>
      <c r="AA254" s="6">
        <v>1839</v>
      </c>
    </row>
    <row r="255" spans="1:27" s="5" customFormat="1" x14ac:dyDescent="0.2">
      <c r="B255" s="191"/>
      <c r="C255" s="15" t="s">
        <v>3</v>
      </c>
      <c r="D255" s="39">
        <v>25.8</v>
      </c>
      <c r="E255" s="39">
        <v>24.5</v>
      </c>
      <c r="F255" s="39">
        <v>21.7</v>
      </c>
      <c r="G255" s="7">
        <v>25.2</v>
      </c>
      <c r="H255" s="7">
        <v>22.9</v>
      </c>
      <c r="I255" s="7">
        <v>19.600000000000001</v>
      </c>
      <c r="J255" s="7">
        <v>19.100000000000001</v>
      </c>
      <c r="K255" s="7">
        <v>18.399999999999999</v>
      </c>
      <c r="L255" s="7">
        <v>25.5</v>
      </c>
      <c r="M255" s="7">
        <v>22.7</v>
      </c>
      <c r="N255" s="7">
        <v>18.8</v>
      </c>
      <c r="O255" s="7">
        <v>21.2</v>
      </c>
      <c r="P255" s="7">
        <v>27.4</v>
      </c>
      <c r="Q255" s="7">
        <v>21.5</v>
      </c>
      <c r="R255" s="7">
        <v>21.5</v>
      </c>
      <c r="S255" s="7">
        <v>22.9</v>
      </c>
      <c r="T255" s="7">
        <v>15.2</v>
      </c>
      <c r="U255" s="7">
        <v>18.2</v>
      </c>
      <c r="V255" s="7">
        <v>20.8</v>
      </c>
      <c r="W255" s="7">
        <v>21.9</v>
      </c>
      <c r="X255" s="7">
        <v>25.4</v>
      </c>
      <c r="Y255" s="7">
        <v>22.3</v>
      </c>
      <c r="Z255" s="7">
        <v>22</v>
      </c>
      <c r="AA255" s="7">
        <v>23.3</v>
      </c>
    </row>
    <row r="256" spans="1:27" s="5" customFormat="1" x14ac:dyDescent="0.2">
      <c r="B256" s="190" t="s">
        <v>163</v>
      </c>
      <c r="C256" s="15" t="s">
        <v>2</v>
      </c>
      <c r="D256" s="39">
        <v>613991</v>
      </c>
      <c r="E256" s="39">
        <v>52906</v>
      </c>
      <c r="F256" s="39">
        <v>1483</v>
      </c>
      <c r="G256" s="6">
        <v>90</v>
      </c>
      <c r="H256" s="6">
        <v>77</v>
      </c>
      <c r="I256" s="6">
        <v>75</v>
      </c>
      <c r="J256" s="6">
        <v>58</v>
      </c>
      <c r="K256" s="6">
        <v>76</v>
      </c>
      <c r="L256" s="6">
        <v>60</v>
      </c>
      <c r="M256" s="6">
        <v>72</v>
      </c>
      <c r="N256" s="6">
        <v>52</v>
      </c>
      <c r="O256" s="6">
        <v>56</v>
      </c>
      <c r="P256" s="6">
        <v>90</v>
      </c>
      <c r="Q256" s="6">
        <v>71</v>
      </c>
      <c r="R256" s="6">
        <v>81</v>
      </c>
      <c r="S256" s="6">
        <v>70</v>
      </c>
      <c r="T256" s="6">
        <v>66</v>
      </c>
      <c r="U256" s="6">
        <v>75</v>
      </c>
      <c r="V256" s="6">
        <v>51</v>
      </c>
      <c r="W256" s="6">
        <v>68</v>
      </c>
      <c r="X256" s="6">
        <v>72</v>
      </c>
      <c r="Y256" s="6">
        <v>80</v>
      </c>
      <c r="Z256" s="6">
        <v>68</v>
      </c>
      <c r="AA256" s="6">
        <v>75</v>
      </c>
    </row>
    <row r="257" spans="1:27" s="5" customFormat="1" x14ac:dyDescent="0.2">
      <c r="B257" s="191"/>
      <c r="C257" s="15" t="s">
        <v>3</v>
      </c>
      <c r="D257" s="39">
        <v>1.5</v>
      </c>
      <c r="E257" s="39">
        <v>1.3</v>
      </c>
      <c r="F257" s="39">
        <v>0.8</v>
      </c>
      <c r="G257" s="7">
        <v>1</v>
      </c>
      <c r="H257" s="7">
        <v>0.9</v>
      </c>
      <c r="I257" s="7">
        <v>0.9</v>
      </c>
      <c r="J257" s="7">
        <v>0.7</v>
      </c>
      <c r="K257" s="7">
        <v>0.9</v>
      </c>
      <c r="L257" s="7">
        <v>0.7</v>
      </c>
      <c r="M257" s="7">
        <v>0.8</v>
      </c>
      <c r="N257" s="7">
        <v>0.6</v>
      </c>
      <c r="O257" s="7">
        <v>0.6</v>
      </c>
      <c r="P257" s="7">
        <v>1.1000000000000001</v>
      </c>
      <c r="Q257" s="7">
        <v>0.8</v>
      </c>
      <c r="R257" s="7">
        <v>0.8</v>
      </c>
      <c r="S257" s="7">
        <v>0.8</v>
      </c>
      <c r="T257" s="7">
        <v>0.7</v>
      </c>
      <c r="U257" s="7">
        <v>0.8</v>
      </c>
      <c r="V257" s="7">
        <v>0.6</v>
      </c>
      <c r="W257" s="7">
        <v>0.8</v>
      </c>
      <c r="X257" s="7">
        <v>0.9</v>
      </c>
      <c r="Y257" s="7">
        <v>0.9</v>
      </c>
      <c r="Z257" s="7">
        <v>0.7</v>
      </c>
      <c r="AA257" s="7">
        <v>1</v>
      </c>
    </row>
    <row r="258" spans="1:27" s="5" customFormat="1" x14ac:dyDescent="0.2">
      <c r="B258" s="190" t="s">
        <v>164</v>
      </c>
      <c r="C258" s="15" t="s">
        <v>2</v>
      </c>
      <c r="D258" s="39">
        <v>898194</v>
      </c>
      <c r="E258" s="39">
        <v>86572</v>
      </c>
      <c r="F258" s="39">
        <v>3579</v>
      </c>
      <c r="G258" s="6">
        <v>200</v>
      </c>
      <c r="H258" s="6">
        <v>177</v>
      </c>
      <c r="I258" s="6">
        <v>179</v>
      </c>
      <c r="J258" s="6">
        <v>173</v>
      </c>
      <c r="K258" s="6">
        <v>125</v>
      </c>
      <c r="L258" s="6">
        <v>197</v>
      </c>
      <c r="M258" s="6">
        <v>207</v>
      </c>
      <c r="N258" s="6">
        <v>128</v>
      </c>
      <c r="O258" s="6">
        <v>165</v>
      </c>
      <c r="P258" s="6">
        <v>208</v>
      </c>
      <c r="Q258" s="6">
        <v>163</v>
      </c>
      <c r="R258" s="6">
        <v>207</v>
      </c>
      <c r="S258" s="6">
        <v>183</v>
      </c>
      <c r="T258" s="6">
        <v>121</v>
      </c>
      <c r="U258" s="6">
        <v>162</v>
      </c>
      <c r="V258" s="6">
        <v>172</v>
      </c>
      <c r="W258" s="6">
        <v>145</v>
      </c>
      <c r="X258" s="6">
        <v>174</v>
      </c>
      <c r="Y258" s="6">
        <v>158</v>
      </c>
      <c r="Z258" s="6">
        <v>183</v>
      </c>
      <c r="AA258" s="6">
        <v>152</v>
      </c>
    </row>
    <row r="259" spans="1:27" s="5" customFormat="1" x14ac:dyDescent="0.2">
      <c r="B259" s="191"/>
      <c r="C259" s="15" t="s">
        <v>3</v>
      </c>
      <c r="D259" s="39">
        <v>2.1</v>
      </c>
      <c r="E259" s="39">
        <v>2.1</v>
      </c>
      <c r="F259" s="39">
        <v>1.9</v>
      </c>
      <c r="G259" s="7">
        <v>2.2000000000000002</v>
      </c>
      <c r="H259" s="7">
        <v>2</v>
      </c>
      <c r="I259" s="7">
        <v>2.1</v>
      </c>
      <c r="J259" s="7">
        <v>2</v>
      </c>
      <c r="K259" s="7">
        <v>1.4</v>
      </c>
      <c r="L259" s="7">
        <v>2.4</v>
      </c>
      <c r="M259" s="7">
        <v>2.2000000000000002</v>
      </c>
      <c r="N259" s="7">
        <v>1.6</v>
      </c>
      <c r="O259" s="7">
        <v>1.7</v>
      </c>
      <c r="P259" s="7">
        <v>2.4</v>
      </c>
      <c r="Q259" s="7">
        <v>1.9</v>
      </c>
      <c r="R259" s="7">
        <v>2</v>
      </c>
      <c r="S259" s="7">
        <v>2.1</v>
      </c>
      <c r="T259" s="7">
        <v>1.3</v>
      </c>
      <c r="U259" s="7">
        <v>1.7</v>
      </c>
      <c r="V259" s="7">
        <v>1.9</v>
      </c>
      <c r="W259" s="7">
        <v>1.7</v>
      </c>
      <c r="X259" s="7">
        <v>2.2000000000000002</v>
      </c>
      <c r="Y259" s="7">
        <v>1.7</v>
      </c>
      <c r="Z259" s="7">
        <v>2</v>
      </c>
      <c r="AA259" s="7">
        <v>1.9</v>
      </c>
    </row>
    <row r="260" spans="1:27" s="5" customFormat="1" x14ac:dyDescent="0.2">
      <c r="B260" s="190" t="s">
        <v>165</v>
      </c>
      <c r="C260" s="15" t="s">
        <v>2</v>
      </c>
      <c r="D260" s="39">
        <v>2745873</v>
      </c>
      <c r="E260" s="39">
        <v>276625</v>
      </c>
      <c r="F260" s="39">
        <v>13384</v>
      </c>
      <c r="G260" s="6">
        <v>800</v>
      </c>
      <c r="H260" s="6">
        <v>601</v>
      </c>
      <c r="I260" s="6">
        <v>570</v>
      </c>
      <c r="J260" s="6">
        <v>562</v>
      </c>
      <c r="K260" s="6">
        <v>546</v>
      </c>
      <c r="L260" s="6">
        <v>608</v>
      </c>
      <c r="M260" s="6">
        <v>679</v>
      </c>
      <c r="N260" s="6">
        <v>521</v>
      </c>
      <c r="O260" s="6">
        <v>660</v>
      </c>
      <c r="P260" s="6">
        <v>856</v>
      </c>
      <c r="Q260" s="6">
        <v>644</v>
      </c>
      <c r="R260" s="6">
        <v>714</v>
      </c>
      <c r="S260" s="6">
        <v>674</v>
      </c>
      <c r="T260" s="6">
        <v>507</v>
      </c>
      <c r="U260" s="6">
        <v>574</v>
      </c>
      <c r="V260" s="6">
        <v>589</v>
      </c>
      <c r="W260" s="6">
        <v>606</v>
      </c>
      <c r="X260" s="6">
        <v>677</v>
      </c>
      <c r="Y260" s="6">
        <v>719</v>
      </c>
      <c r="Z260" s="6">
        <v>685</v>
      </c>
      <c r="AA260" s="6">
        <v>592</v>
      </c>
    </row>
    <row r="261" spans="1:27" s="5" customFormat="1" x14ac:dyDescent="0.2">
      <c r="B261" s="191"/>
      <c r="C261" s="15" t="s">
        <v>3</v>
      </c>
      <c r="D261" s="39">
        <v>6.5</v>
      </c>
      <c r="E261" s="39">
        <v>6.6</v>
      </c>
      <c r="F261" s="39">
        <v>7.2</v>
      </c>
      <c r="G261" s="7">
        <v>8.6999999999999993</v>
      </c>
      <c r="H261" s="7">
        <v>6.9</v>
      </c>
      <c r="I261" s="7">
        <v>6.6</v>
      </c>
      <c r="J261" s="7">
        <v>6.5</v>
      </c>
      <c r="K261" s="7">
        <v>6.2</v>
      </c>
      <c r="L261" s="7">
        <v>7.3</v>
      </c>
      <c r="M261" s="7">
        <v>7.2</v>
      </c>
      <c r="N261" s="7">
        <v>6.4</v>
      </c>
      <c r="O261" s="7">
        <v>6.9</v>
      </c>
      <c r="P261" s="7">
        <v>10</v>
      </c>
      <c r="Q261" s="7">
        <v>7.4</v>
      </c>
      <c r="R261" s="7">
        <v>6.9</v>
      </c>
      <c r="S261" s="7">
        <v>7.7</v>
      </c>
      <c r="T261" s="7">
        <v>5.3</v>
      </c>
      <c r="U261" s="7">
        <v>6.2</v>
      </c>
      <c r="V261" s="7">
        <v>6.5</v>
      </c>
      <c r="W261" s="7">
        <v>7</v>
      </c>
      <c r="X261" s="7">
        <v>8.4</v>
      </c>
      <c r="Y261" s="7">
        <v>7.8</v>
      </c>
      <c r="Z261" s="7">
        <v>7.5</v>
      </c>
      <c r="AA261" s="7">
        <v>7.5</v>
      </c>
    </row>
    <row r="262" spans="1:27" s="5" customFormat="1" x14ac:dyDescent="0.2">
      <c r="B262" s="190" t="s">
        <v>166</v>
      </c>
      <c r="C262" s="15" t="s">
        <v>2</v>
      </c>
      <c r="D262" s="39">
        <v>2635975</v>
      </c>
      <c r="E262" s="39">
        <v>273278</v>
      </c>
      <c r="F262" s="39">
        <v>13004</v>
      </c>
      <c r="G262" s="6">
        <v>533</v>
      </c>
      <c r="H262" s="6">
        <v>555</v>
      </c>
      <c r="I262" s="6">
        <v>598</v>
      </c>
      <c r="J262" s="6">
        <v>519</v>
      </c>
      <c r="K262" s="6">
        <v>642</v>
      </c>
      <c r="L262" s="6">
        <v>716</v>
      </c>
      <c r="M262" s="6">
        <v>602</v>
      </c>
      <c r="N262" s="6">
        <v>636</v>
      </c>
      <c r="O262" s="6">
        <v>660</v>
      </c>
      <c r="P262" s="6">
        <v>527</v>
      </c>
      <c r="Q262" s="6">
        <v>711</v>
      </c>
      <c r="R262" s="6">
        <v>694</v>
      </c>
      <c r="S262" s="6">
        <v>495</v>
      </c>
      <c r="T262" s="6">
        <v>640</v>
      </c>
      <c r="U262" s="6">
        <v>555</v>
      </c>
      <c r="V262" s="6">
        <v>728</v>
      </c>
      <c r="W262" s="6">
        <v>604</v>
      </c>
      <c r="X262" s="6">
        <v>657</v>
      </c>
      <c r="Y262" s="6">
        <v>673</v>
      </c>
      <c r="Z262" s="6">
        <v>638</v>
      </c>
      <c r="AA262" s="6">
        <v>621</v>
      </c>
    </row>
    <row r="263" spans="1:27" s="5" customFormat="1" x14ac:dyDescent="0.2">
      <c r="B263" s="191"/>
      <c r="C263" s="15" t="s">
        <v>3</v>
      </c>
      <c r="D263" s="39">
        <v>6.3</v>
      </c>
      <c r="E263" s="39">
        <v>6.5</v>
      </c>
      <c r="F263" s="39">
        <v>7</v>
      </c>
      <c r="G263" s="7">
        <v>5.8</v>
      </c>
      <c r="H263" s="7">
        <v>6.4</v>
      </c>
      <c r="I263" s="7">
        <v>7</v>
      </c>
      <c r="J263" s="7">
        <v>6</v>
      </c>
      <c r="K263" s="7">
        <v>7.3</v>
      </c>
      <c r="L263" s="7">
        <v>8.6</v>
      </c>
      <c r="M263" s="7">
        <v>6.4</v>
      </c>
      <c r="N263" s="7">
        <v>7.8</v>
      </c>
      <c r="O263" s="7">
        <v>6.9</v>
      </c>
      <c r="P263" s="7">
        <v>6.2</v>
      </c>
      <c r="Q263" s="7">
        <v>8.1</v>
      </c>
      <c r="R263" s="7">
        <v>6.7</v>
      </c>
      <c r="S263" s="7">
        <v>5.7</v>
      </c>
      <c r="T263" s="7">
        <v>6.7</v>
      </c>
      <c r="U263" s="7">
        <v>6</v>
      </c>
      <c r="V263" s="7">
        <v>8</v>
      </c>
      <c r="W263" s="7">
        <v>7</v>
      </c>
      <c r="X263" s="7">
        <v>8.1999999999999993</v>
      </c>
      <c r="Y263" s="7">
        <v>7.3</v>
      </c>
      <c r="Z263" s="7">
        <v>7</v>
      </c>
      <c r="AA263" s="7">
        <v>7.9</v>
      </c>
    </row>
    <row r="264" spans="1:27" s="5" customFormat="1" x14ac:dyDescent="0.2">
      <c r="A264" s="5" t="s">
        <v>55</v>
      </c>
      <c r="B264" s="190" t="s">
        <v>41</v>
      </c>
      <c r="C264" s="15" t="s">
        <v>2</v>
      </c>
      <c r="D264" s="39">
        <v>54596</v>
      </c>
      <c r="E264" s="39">
        <v>4912</v>
      </c>
      <c r="F264" s="39">
        <v>107</v>
      </c>
      <c r="G264" s="6">
        <v>5</v>
      </c>
      <c r="H264" s="6">
        <v>5</v>
      </c>
      <c r="I264" s="6">
        <v>4</v>
      </c>
      <c r="J264" s="6">
        <v>4</v>
      </c>
      <c r="K264" s="6">
        <v>4</v>
      </c>
      <c r="L264" s="6">
        <v>7</v>
      </c>
      <c r="M264" s="6">
        <v>2</v>
      </c>
      <c r="N264" s="6">
        <v>6</v>
      </c>
      <c r="O264" s="6">
        <v>3</v>
      </c>
      <c r="P264" s="6">
        <v>5</v>
      </c>
      <c r="Q264" s="6">
        <v>6</v>
      </c>
      <c r="R264" s="6">
        <v>8</v>
      </c>
      <c r="S264" s="6">
        <v>5</v>
      </c>
      <c r="T264" s="6">
        <v>4</v>
      </c>
      <c r="U264" s="6">
        <v>8</v>
      </c>
      <c r="V264" s="6">
        <v>1</v>
      </c>
      <c r="W264" s="6">
        <v>2</v>
      </c>
      <c r="X264" s="6">
        <v>3</v>
      </c>
      <c r="Y264" s="6">
        <v>8</v>
      </c>
      <c r="Z264" s="6">
        <v>9</v>
      </c>
      <c r="AA264" s="6">
        <v>8</v>
      </c>
    </row>
    <row r="265" spans="1:27" s="5" customFormat="1" x14ac:dyDescent="0.2">
      <c r="B265" s="191"/>
      <c r="C265" s="15" t="s">
        <v>3</v>
      </c>
      <c r="D265" s="39" t="s">
        <v>30</v>
      </c>
      <c r="E265" s="39" t="s">
        <v>30</v>
      </c>
      <c r="F265" s="39" t="s">
        <v>30</v>
      </c>
      <c r="G265" s="8" t="s">
        <v>30</v>
      </c>
      <c r="H265" s="8" t="s">
        <v>30</v>
      </c>
      <c r="I265" s="8" t="s">
        <v>30</v>
      </c>
      <c r="J265" s="8" t="s">
        <v>30</v>
      </c>
      <c r="K265" s="8" t="s">
        <v>30</v>
      </c>
      <c r="L265" s="8" t="s">
        <v>30</v>
      </c>
      <c r="M265" s="8" t="s">
        <v>30</v>
      </c>
      <c r="N265" s="8" t="s">
        <v>30</v>
      </c>
      <c r="O265" s="8" t="s">
        <v>30</v>
      </c>
      <c r="P265" s="8" t="s">
        <v>30</v>
      </c>
      <c r="Q265" s="8" t="s">
        <v>30</v>
      </c>
      <c r="R265" s="8" t="s">
        <v>30</v>
      </c>
      <c r="S265" s="8" t="s">
        <v>30</v>
      </c>
      <c r="T265" s="8" t="s">
        <v>30</v>
      </c>
      <c r="U265" s="8" t="s">
        <v>30</v>
      </c>
      <c r="V265" s="8" t="s">
        <v>30</v>
      </c>
      <c r="W265" s="8" t="s">
        <v>30</v>
      </c>
      <c r="X265" s="8" t="s">
        <v>30</v>
      </c>
      <c r="Y265" s="8" t="s">
        <v>30</v>
      </c>
      <c r="Z265" s="8" t="s">
        <v>30</v>
      </c>
      <c r="AA265" s="8" t="s">
        <v>30</v>
      </c>
    </row>
    <row r="266" spans="1:27" s="5" customFormat="1" x14ac:dyDescent="0.2">
      <c r="B266" s="190" t="s">
        <v>42</v>
      </c>
      <c r="C266" s="15" t="s">
        <v>2</v>
      </c>
      <c r="D266" s="39">
        <v>952525</v>
      </c>
      <c r="E266" s="39">
        <v>98056</v>
      </c>
      <c r="F266" s="39">
        <v>1682</v>
      </c>
      <c r="G266" s="6">
        <v>77</v>
      </c>
      <c r="H266" s="6">
        <v>60</v>
      </c>
      <c r="I266" s="6">
        <v>69</v>
      </c>
      <c r="J266" s="6">
        <v>121</v>
      </c>
      <c r="K266" s="6">
        <v>37</v>
      </c>
      <c r="L266" s="6">
        <v>80</v>
      </c>
      <c r="M266" s="6">
        <v>58</v>
      </c>
      <c r="N266" s="6">
        <v>98</v>
      </c>
      <c r="O266" s="6">
        <v>66</v>
      </c>
      <c r="P266" s="6">
        <v>122</v>
      </c>
      <c r="Q266" s="6">
        <v>125</v>
      </c>
      <c r="R266" s="6">
        <v>195</v>
      </c>
      <c r="S266" s="6">
        <v>88</v>
      </c>
      <c r="T266" s="6">
        <v>10</v>
      </c>
      <c r="U266" s="6">
        <v>16</v>
      </c>
      <c r="V266" s="6">
        <v>34</v>
      </c>
      <c r="W266" s="6">
        <v>69</v>
      </c>
      <c r="X266" s="6">
        <v>26</v>
      </c>
      <c r="Y266" s="6">
        <v>134</v>
      </c>
      <c r="Z266" s="6">
        <v>126</v>
      </c>
      <c r="AA266" s="6">
        <v>71</v>
      </c>
    </row>
    <row r="267" spans="1:27" s="5" customFormat="1" x14ac:dyDescent="0.2">
      <c r="B267" s="191"/>
      <c r="C267" s="15" t="s">
        <v>3</v>
      </c>
      <c r="D267" s="39">
        <v>100</v>
      </c>
      <c r="E267" s="39">
        <v>100</v>
      </c>
      <c r="F267" s="39">
        <v>100</v>
      </c>
      <c r="G267" s="7">
        <v>100</v>
      </c>
      <c r="H267" s="7">
        <v>100</v>
      </c>
      <c r="I267" s="7">
        <v>100</v>
      </c>
      <c r="J267" s="7">
        <v>100</v>
      </c>
      <c r="K267" s="7">
        <v>100</v>
      </c>
      <c r="L267" s="7">
        <v>100</v>
      </c>
      <c r="M267" s="7">
        <v>100</v>
      </c>
      <c r="N267" s="7">
        <v>100</v>
      </c>
      <c r="O267" s="7">
        <v>100</v>
      </c>
      <c r="P267" s="7">
        <v>100</v>
      </c>
      <c r="Q267" s="7">
        <v>100</v>
      </c>
      <c r="R267" s="7">
        <v>100</v>
      </c>
      <c r="S267" s="7">
        <v>100</v>
      </c>
      <c r="T267" s="7">
        <v>100</v>
      </c>
      <c r="U267" s="7">
        <v>100</v>
      </c>
      <c r="V267" s="7">
        <v>100</v>
      </c>
      <c r="W267" s="7">
        <v>100</v>
      </c>
      <c r="X267" s="7">
        <v>100</v>
      </c>
      <c r="Y267" s="7">
        <v>100</v>
      </c>
      <c r="Z267" s="7">
        <v>100</v>
      </c>
      <c r="AA267" s="7">
        <v>100</v>
      </c>
    </row>
    <row r="268" spans="1:27" s="5" customFormat="1" x14ac:dyDescent="0.2">
      <c r="B268" s="190" t="s">
        <v>43</v>
      </c>
      <c r="C268" s="15" t="s">
        <v>2</v>
      </c>
      <c r="D268" s="39">
        <v>1468</v>
      </c>
      <c r="E268" s="39">
        <v>137</v>
      </c>
      <c r="F268" s="39">
        <v>27</v>
      </c>
      <c r="G268" s="6">
        <v>0</v>
      </c>
      <c r="H268" s="6">
        <v>0</v>
      </c>
      <c r="I268" s="6">
        <v>0</v>
      </c>
      <c r="J268" s="6">
        <v>0</v>
      </c>
      <c r="K268" s="6">
        <v>0</v>
      </c>
      <c r="L268" s="6">
        <v>0</v>
      </c>
      <c r="M268" s="6">
        <v>0</v>
      </c>
      <c r="N268" s="6">
        <v>0</v>
      </c>
      <c r="O268" s="6">
        <v>0</v>
      </c>
      <c r="P268" s="6">
        <v>0</v>
      </c>
      <c r="Q268" s="6">
        <v>0</v>
      </c>
      <c r="R268" s="6">
        <v>0</v>
      </c>
      <c r="S268" s="6">
        <v>27</v>
      </c>
      <c r="T268" s="6">
        <v>0</v>
      </c>
      <c r="U268" s="6">
        <v>0</v>
      </c>
      <c r="V268" s="6">
        <v>0</v>
      </c>
      <c r="W268" s="6">
        <v>0</v>
      </c>
      <c r="X268" s="6">
        <v>0</v>
      </c>
      <c r="Y268" s="6">
        <v>0</v>
      </c>
      <c r="Z268" s="6">
        <v>0</v>
      </c>
      <c r="AA268" s="6">
        <v>0</v>
      </c>
    </row>
    <row r="269" spans="1:27" s="5" customFormat="1" x14ac:dyDescent="0.2">
      <c r="B269" s="191"/>
      <c r="C269" s="15" t="s">
        <v>3</v>
      </c>
      <c r="D269" s="39">
        <v>0.2</v>
      </c>
      <c r="E269" s="39">
        <v>0.1</v>
      </c>
      <c r="F269" s="39">
        <v>1.6</v>
      </c>
      <c r="G269" s="7">
        <v>0</v>
      </c>
      <c r="H269" s="7">
        <v>0</v>
      </c>
      <c r="I269" s="7">
        <v>0</v>
      </c>
      <c r="J269" s="7">
        <v>0</v>
      </c>
      <c r="K269" s="7">
        <v>0</v>
      </c>
      <c r="L269" s="7">
        <v>0</v>
      </c>
      <c r="M269" s="7">
        <v>0</v>
      </c>
      <c r="N269" s="7">
        <v>0</v>
      </c>
      <c r="O269" s="7">
        <v>0</v>
      </c>
      <c r="P269" s="7">
        <v>0</v>
      </c>
      <c r="Q269" s="7">
        <v>0</v>
      </c>
      <c r="R269" s="7">
        <v>0</v>
      </c>
      <c r="S269" s="7">
        <v>30.7</v>
      </c>
      <c r="T269" s="7">
        <v>0</v>
      </c>
      <c r="U269" s="7">
        <v>0</v>
      </c>
      <c r="V269" s="7">
        <v>0</v>
      </c>
      <c r="W269" s="7">
        <v>0</v>
      </c>
      <c r="X269" s="7">
        <v>0</v>
      </c>
      <c r="Y269" s="7">
        <v>0</v>
      </c>
      <c r="Z269" s="7">
        <v>0</v>
      </c>
      <c r="AA269" s="7">
        <v>0</v>
      </c>
    </row>
    <row r="270" spans="1:27" s="5" customFormat="1" x14ac:dyDescent="0.2">
      <c r="B270" s="190" t="s">
        <v>44</v>
      </c>
      <c r="C270" s="15" t="s">
        <v>2</v>
      </c>
      <c r="D270" s="39">
        <v>6810</v>
      </c>
      <c r="E270" s="39">
        <v>438</v>
      </c>
      <c r="F270" s="39">
        <v>0</v>
      </c>
      <c r="G270" s="6">
        <v>0</v>
      </c>
      <c r="H270" s="6">
        <v>0</v>
      </c>
      <c r="I270" s="6">
        <v>0</v>
      </c>
      <c r="J270" s="6">
        <v>0</v>
      </c>
      <c r="K270" s="6">
        <v>0</v>
      </c>
      <c r="L270" s="6">
        <v>0</v>
      </c>
      <c r="M270" s="6">
        <v>0</v>
      </c>
      <c r="N270" s="6">
        <v>0</v>
      </c>
      <c r="O270" s="6">
        <v>0</v>
      </c>
      <c r="P270" s="6">
        <v>0</v>
      </c>
      <c r="Q270" s="6">
        <v>0</v>
      </c>
      <c r="R270" s="6">
        <v>0</v>
      </c>
      <c r="S270" s="6">
        <v>0</v>
      </c>
      <c r="T270" s="6">
        <v>0</v>
      </c>
      <c r="U270" s="6">
        <v>0</v>
      </c>
      <c r="V270" s="6">
        <v>0</v>
      </c>
      <c r="W270" s="6">
        <v>0</v>
      </c>
      <c r="X270" s="6">
        <v>0</v>
      </c>
      <c r="Y270" s="6">
        <v>0</v>
      </c>
      <c r="Z270" s="6">
        <v>0</v>
      </c>
      <c r="AA270" s="6">
        <v>0</v>
      </c>
    </row>
    <row r="271" spans="1:27" s="5" customFormat="1" x14ac:dyDescent="0.2">
      <c r="B271" s="191"/>
      <c r="C271" s="15" t="s">
        <v>3</v>
      </c>
      <c r="D271" s="39">
        <v>0.7</v>
      </c>
      <c r="E271" s="39">
        <v>0.4</v>
      </c>
      <c r="F271" s="39">
        <v>0</v>
      </c>
      <c r="G271" s="7">
        <v>0</v>
      </c>
      <c r="H271" s="7">
        <v>0</v>
      </c>
      <c r="I271" s="7">
        <v>0</v>
      </c>
      <c r="J271" s="7">
        <v>0</v>
      </c>
      <c r="K271" s="7">
        <v>0</v>
      </c>
      <c r="L271" s="7">
        <v>0</v>
      </c>
      <c r="M271" s="7">
        <v>0</v>
      </c>
      <c r="N271" s="7">
        <v>0</v>
      </c>
      <c r="O271" s="7">
        <v>0</v>
      </c>
      <c r="P271" s="7">
        <v>0</v>
      </c>
      <c r="Q271" s="7">
        <v>0</v>
      </c>
      <c r="R271" s="7">
        <v>0</v>
      </c>
      <c r="S271" s="7">
        <v>0</v>
      </c>
      <c r="T271" s="7">
        <v>0</v>
      </c>
      <c r="U271" s="7">
        <v>0</v>
      </c>
      <c r="V271" s="7">
        <v>0</v>
      </c>
      <c r="W271" s="7">
        <v>0</v>
      </c>
      <c r="X271" s="7">
        <v>0</v>
      </c>
      <c r="Y271" s="7">
        <v>0</v>
      </c>
      <c r="Z271" s="7">
        <v>0</v>
      </c>
      <c r="AA271" s="7">
        <v>0</v>
      </c>
    </row>
    <row r="272" spans="1:27" s="5" customFormat="1" x14ac:dyDescent="0.2">
      <c r="B272" s="190" t="s">
        <v>45</v>
      </c>
      <c r="C272" s="15" t="s">
        <v>2</v>
      </c>
      <c r="D272" s="39">
        <v>1927</v>
      </c>
      <c r="E272" s="39">
        <v>170</v>
      </c>
      <c r="F272" s="39">
        <v>0</v>
      </c>
      <c r="G272" s="6">
        <v>0</v>
      </c>
      <c r="H272" s="6">
        <v>0</v>
      </c>
      <c r="I272" s="6">
        <v>0</v>
      </c>
      <c r="J272" s="6">
        <v>0</v>
      </c>
      <c r="K272" s="6">
        <v>0</v>
      </c>
      <c r="L272" s="6">
        <v>0</v>
      </c>
      <c r="M272" s="6">
        <v>0</v>
      </c>
      <c r="N272" s="6">
        <v>0</v>
      </c>
      <c r="O272" s="6">
        <v>0</v>
      </c>
      <c r="P272" s="6">
        <v>0</v>
      </c>
      <c r="Q272" s="6">
        <v>0</v>
      </c>
      <c r="R272" s="6">
        <v>0</v>
      </c>
      <c r="S272" s="6">
        <v>0</v>
      </c>
      <c r="T272" s="6">
        <v>0</v>
      </c>
      <c r="U272" s="6">
        <v>0</v>
      </c>
      <c r="V272" s="6">
        <v>0</v>
      </c>
      <c r="W272" s="6">
        <v>0</v>
      </c>
      <c r="X272" s="6">
        <v>0</v>
      </c>
      <c r="Y272" s="6">
        <v>0</v>
      </c>
      <c r="Z272" s="6">
        <v>0</v>
      </c>
      <c r="AA272" s="6">
        <v>0</v>
      </c>
    </row>
    <row r="273" spans="2:27" s="5" customFormat="1" x14ac:dyDescent="0.2">
      <c r="B273" s="191"/>
      <c r="C273" s="15" t="s">
        <v>3</v>
      </c>
      <c r="D273" s="39">
        <v>0.2</v>
      </c>
      <c r="E273" s="39">
        <v>0.2</v>
      </c>
      <c r="F273" s="39">
        <v>0</v>
      </c>
      <c r="G273" s="7">
        <v>0</v>
      </c>
      <c r="H273" s="7">
        <v>0</v>
      </c>
      <c r="I273" s="7">
        <v>0</v>
      </c>
      <c r="J273" s="7">
        <v>0</v>
      </c>
      <c r="K273" s="7">
        <v>0</v>
      </c>
      <c r="L273" s="7">
        <v>0</v>
      </c>
      <c r="M273" s="7">
        <v>0</v>
      </c>
      <c r="N273" s="7">
        <v>0</v>
      </c>
      <c r="O273" s="7">
        <v>0</v>
      </c>
      <c r="P273" s="7">
        <v>0</v>
      </c>
      <c r="Q273" s="7">
        <v>0</v>
      </c>
      <c r="R273" s="7">
        <v>0</v>
      </c>
      <c r="S273" s="7">
        <v>0</v>
      </c>
      <c r="T273" s="7">
        <v>0</v>
      </c>
      <c r="U273" s="7">
        <v>0</v>
      </c>
      <c r="V273" s="7">
        <v>0</v>
      </c>
      <c r="W273" s="7">
        <v>0</v>
      </c>
      <c r="X273" s="7">
        <v>0</v>
      </c>
      <c r="Y273" s="7">
        <v>0</v>
      </c>
      <c r="Z273" s="7">
        <v>0</v>
      </c>
      <c r="AA273" s="7">
        <v>0</v>
      </c>
    </row>
    <row r="274" spans="2:27" s="5" customFormat="1" x14ac:dyDescent="0.2">
      <c r="B274" s="190" t="s">
        <v>46</v>
      </c>
      <c r="C274" s="15" t="s">
        <v>2</v>
      </c>
      <c r="D274" s="39">
        <v>1068</v>
      </c>
      <c r="E274" s="39">
        <v>195</v>
      </c>
      <c r="F274" s="39">
        <v>0</v>
      </c>
      <c r="G274" s="6">
        <v>0</v>
      </c>
      <c r="H274" s="6">
        <v>0</v>
      </c>
      <c r="I274" s="6">
        <v>0</v>
      </c>
      <c r="J274" s="6">
        <v>0</v>
      </c>
      <c r="K274" s="6">
        <v>0</v>
      </c>
      <c r="L274" s="6">
        <v>0</v>
      </c>
      <c r="M274" s="6">
        <v>0</v>
      </c>
      <c r="N274" s="6">
        <v>0</v>
      </c>
      <c r="O274" s="6">
        <v>0</v>
      </c>
      <c r="P274" s="6">
        <v>0</v>
      </c>
      <c r="Q274" s="6">
        <v>0</v>
      </c>
      <c r="R274" s="6">
        <v>0</v>
      </c>
      <c r="S274" s="6">
        <v>0</v>
      </c>
      <c r="T274" s="6">
        <v>0</v>
      </c>
      <c r="U274" s="6">
        <v>0</v>
      </c>
      <c r="V274" s="6">
        <v>0</v>
      </c>
      <c r="W274" s="6">
        <v>0</v>
      </c>
      <c r="X274" s="6">
        <v>0</v>
      </c>
      <c r="Y274" s="6">
        <v>0</v>
      </c>
      <c r="Z274" s="6">
        <v>0</v>
      </c>
      <c r="AA274" s="6">
        <v>0</v>
      </c>
    </row>
    <row r="275" spans="2:27" s="5" customFormat="1" x14ac:dyDescent="0.2">
      <c r="B275" s="191"/>
      <c r="C275" s="15" t="s">
        <v>3</v>
      </c>
      <c r="D275" s="39">
        <v>0.1</v>
      </c>
      <c r="E275" s="39">
        <v>0.2</v>
      </c>
      <c r="F275" s="39">
        <v>0</v>
      </c>
      <c r="G275" s="7">
        <v>0</v>
      </c>
      <c r="H275" s="7">
        <v>0</v>
      </c>
      <c r="I275" s="7">
        <v>0</v>
      </c>
      <c r="J275" s="7">
        <v>0</v>
      </c>
      <c r="K275" s="7">
        <v>0</v>
      </c>
      <c r="L275" s="7">
        <v>0</v>
      </c>
      <c r="M275" s="7">
        <v>0</v>
      </c>
      <c r="N275" s="7">
        <v>0</v>
      </c>
      <c r="O275" s="7">
        <v>0</v>
      </c>
      <c r="P275" s="7">
        <v>0</v>
      </c>
      <c r="Q275" s="7">
        <v>0</v>
      </c>
      <c r="R275" s="7">
        <v>0</v>
      </c>
      <c r="S275" s="7">
        <v>0</v>
      </c>
      <c r="T275" s="7">
        <v>0</v>
      </c>
      <c r="U275" s="7">
        <v>0</v>
      </c>
      <c r="V275" s="7">
        <v>0</v>
      </c>
      <c r="W275" s="7">
        <v>0</v>
      </c>
      <c r="X275" s="7">
        <v>0</v>
      </c>
      <c r="Y275" s="7">
        <v>0</v>
      </c>
      <c r="Z275" s="7">
        <v>0</v>
      </c>
      <c r="AA275" s="7">
        <v>0</v>
      </c>
    </row>
    <row r="276" spans="2:27" s="5" customFormat="1" x14ac:dyDescent="0.2">
      <c r="B276" s="190" t="s">
        <v>47</v>
      </c>
      <c r="C276" s="15" t="s">
        <v>2</v>
      </c>
      <c r="D276" s="39">
        <v>15452</v>
      </c>
      <c r="E276" s="39">
        <v>2041</v>
      </c>
      <c r="F276" s="39">
        <v>6</v>
      </c>
      <c r="G276" s="6">
        <v>0</v>
      </c>
      <c r="H276" s="6">
        <v>0</v>
      </c>
      <c r="I276" s="6">
        <v>0</v>
      </c>
      <c r="J276" s="6">
        <v>0</v>
      </c>
      <c r="K276" s="6">
        <v>0</v>
      </c>
      <c r="L276" s="6">
        <v>6</v>
      </c>
      <c r="M276" s="6">
        <v>0</v>
      </c>
      <c r="N276" s="6">
        <v>0</v>
      </c>
      <c r="O276" s="6">
        <v>0</v>
      </c>
      <c r="P276" s="6">
        <v>0</v>
      </c>
      <c r="Q276" s="6">
        <v>0</v>
      </c>
      <c r="R276" s="6">
        <v>0</v>
      </c>
      <c r="S276" s="6">
        <v>0</v>
      </c>
      <c r="T276" s="6">
        <v>0</v>
      </c>
      <c r="U276" s="6">
        <v>0</v>
      </c>
      <c r="V276" s="6">
        <v>0</v>
      </c>
      <c r="W276" s="6">
        <v>0</v>
      </c>
      <c r="X276" s="6">
        <v>0</v>
      </c>
      <c r="Y276" s="6">
        <v>0</v>
      </c>
      <c r="Z276" s="6">
        <v>0</v>
      </c>
      <c r="AA276" s="6">
        <v>0</v>
      </c>
    </row>
    <row r="277" spans="2:27" s="5" customFormat="1" x14ac:dyDescent="0.2">
      <c r="B277" s="191"/>
      <c r="C277" s="15" t="s">
        <v>3</v>
      </c>
      <c r="D277" s="39">
        <v>1.6</v>
      </c>
      <c r="E277" s="39">
        <v>2.1</v>
      </c>
      <c r="F277" s="39">
        <v>0.4</v>
      </c>
      <c r="G277" s="7">
        <v>0</v>
      </c>
      <c r="H277" s="7">
        <v>0</v>
      </c>
      <c r="I277" s="7">
        <v>0</v>
      </c>
      <c r="J277" s="7">
        <v>0</v>
      </c>
      <c r="K277" s="7">
        <v>0</v>
      </c>
      <c r="L277" s="7">
        <v>7.5</v>
      </c>
      <c r="M277" s="7">
        <v>0</v>
      </c>
      <c r="N277" s="7">
        <v>0</v>
      </c>
      <c r="O277" s="7">
        <v>0</v>
      </c>
      <c r="P277" s="7">
        <v>0</v>
      </c>
      <c r="Q277" s="7">
        <v>0</v>
      </c>
      <c r="R277" s="7">
        <v>0</v>
      </c>
      <c r="S277" s="7">
        <v>0</v>
      </c>
      <c r="T277" s="7">
        <v>0</v>
      </c>
      <c r="U277" s="7">
        <v>0</v>
      </c>
      <c r="V277" s="7">
        <v>0</v>
      </c>
      <c r="W277" s="7">
        <v>0</v>
      </c>
      <c r="X277" s="7">
        <v>0</v>
      </c>
      <c r="Y277" s="7">
        <v>0</v>
      </c>
      <c r="Z277" s="7">
        <v>0</v>
      </c>
      <c r="AA277" s="7">
        <v>0</v>
      </c>
    </row>
    <row r="278" spans="2:27" s="5" customFormat="1" x14ac:dyDescent="0.2">
      <c r="B278" s="190" t="s">
        <v>48</v>
      </c>
      <c r="C278" s="15" t="s">
        <v>2</v>
      </c>
      <c r="D278" s="39">
        <v>5965</v>
      </c>
      <c r="E278" s="39">
        <v>399</v>
      </c>
      <c r="F278" s="39">
        <v>9</v>
      </c>
      <c r="G278" s="6">
        <v>0</v>
      </c>
      <c r="H278" s="6">
        <v>0</v>
      </c>
      <c r="I278" s="6">
        <v>0</v>
      </c>
      <c r="J278" s="6">
        <v>0</v>
      </c>
      <c r="K278" s="6">
        <v>0</v>
      </c>
      <c r="L278" s="6">
        <v>0</v>
      </c>
      <c r="M278" s="6">
        <v>0</v>
      </c>
      <c r="N278" s="6">
        <v>0</v>
      </c>
      <c r="O278" s="6">
        <v>0</v>
      </c>
      <c r="P278" s="6">
        <v>0</v>
      </c>
      <c r="Q278" s="6">
        <v>0</v>
      </c>
      <c r="R278" s="6">
        <v>0</v>
      </c>
      <c r="S278" s="6">
        <v>0</v>
      </c>
      <c r="T278" s="6">
        <v>0</v>
      </c>
      <c r="U278" s="6">
        <v>0</v>
      </c>
      <c r="V278" s="6">
        <v>0</v>
      </c>
      <c r="W278" s="6">
        <v>9</v>
      </c>
      <c r="X278" s="6">
        <v>0</v>
      </c>
      <c r="Y278" s="6">
        <v>0</v>
      </c>
      <c r="Z278" s="6">
        <v>0</v>
      </c>
      <c r="AA278" s="6">
        <v>0</v>
      </c>
    </row>
    <row r="279" spans="2:27" s="5" customFormat="1" x14ac:dyDescent="0.2">
      <c r="B279" s="191"/>
      <c r="C279" s="15" t="s">
        <v>3</v>
      </c>
      <c r="D279" s="39">
        <v>0.6</v>
      </c>
      <c r="E279" s="39">
        <v>0.4</v>
      </c>
      <c r="F279" s="39">
        <v>0.5</v>
      </c>
      <c r="G279" s="7">
        <v>0</v>
      </c>
      <c r="H279" s="7">
        <v>0</v>
      </c>
      <c r="I279" s="7">
        <v>0</v>
      </c>
      <c r="J279" s="7">
        <v>0</v>
      </c>
      <c r="K279" s="7">
        <v>0</v>
      </c>
      <c r="L279" s="7">
        <v>0</v>
      </c>
      <c r="M279" s="7">
        <v>0</v>
      </c>
      <c r="N279" s="7">
        <v>0</v>
      </c>
      <c r="O279" s="7">
        <v>0</v>
      </c>
      <c r="P279" s="7">
        <v>0</v>
      </c>
      <c r="Q279" s="7">
        <v>0</v>
      </c>
      <c r="R279" s="7">
        <v>0</v>
      </c>
      <c r="S279" s="7">
        <v>0</v>
      </c>
      <c r="T279" s="7">
        <v>0</v>
      </c>
      <c r="U279" s="7">
        <v>0</v>
      </c>
      <c r="V279" s="7">
        <v>0</v>
      </c>
      <c r="W279" s="7">
        <v>13</v>
      </c>
      <c r="X279" s="7">
        <v>0</v>
      </c>
      <c r="Y279" s="7">
        <v>0</v>
      </c>
      <c r="Z279" s="7">
        <v>0</v>
      </c>
      <c r="AA279" s="7">
        <v>0</v>
      </c>
    </row>
    <row r="280" spans="2:27" s="5" customFormat="1" x14ac:dyDescent="0.2">
      <c r="B280" s="190" t="s">
        <v>49</v>
      </c>
      <c r="C280" s="15" t="s">
        <v>2</v>
      </c>
      <c r="D280" s="39">
        <v>140547</v>
      </c>
      <c r="E280" s="39">
        <v>13799</v>
      </c>
      <c r="F280" s="39">
        <v>640</v>
      </c>
      <c r="G280" s="6">
        <v>0</v>
      </c>
      <c r="H280" s="6">
        <v>37</v>
      </c>
      <c r="I280" s="6">
        <v>42</v>
      </c>
      <c r="J280" s="6">
        <v>50</v>
      </c>
      <c r="K280" s="6">
        <v>0</v>
      </c>
      <c r="L280" s="6">
        <v>0</v>
      </c>
      <c r="M280" s="6">
        <v>58</v>
      </c>
      <c r="N280" s="6">
        <v>53</v>
      </c>
      <c r="O280" s="6">
        <v>0</v>
      </c>
      <c r="P280" s="6">
        <v>57</v>
      </c>
      <c r="Q280" s="6">
        <v>67</v>
      </c>
      <c r="R280" s="6">
        <v>103</v>
      </c>
      <c r="S280" s="6">
        <v>30</v>
      </c>
      <c r="T280" s="6">
        <v>0</v>
      </c>
      <c r="U280" s="6">
        <v>0</v>
      </c>
      <c r="V280" s="6">
        <v>0</v>
      </c>
      <c r="W280" s="6">
        <v>0</v>
      </c>
      <c r="X280" s="6">
        <v>0</v>
      </c>
      <c r="Y280" s="6">
        <v>69</v>
      </c>
      <c r="Z280" s="6">
        <v>53</v>
      </c>
      <c r="AA280" s="6">
        <v>21</v>
      </c>
    </row>
    <row r="281" spans="2:27" s="5" customFormat="1" x14ac:dyDescent="0.2">
      <c r="B281" s="191"/>
      <c r="C281" s="15" t="s">
        <v>3</v>
      </c>
      <c r="D281" s="39">
        <v>14.8</v>
      </c>
      <c r="E281" s="39">
        <v>14.1</v>
      </c>
      <c r="F281" s="39">
        <v>38</v>
      </c>
      <c r="G281" s="7">
        <v>0</v>
      </c>
      <c r="H281" s="7">
        <v>61.7</v>
      </c>
      <c r="I281" s="7">
        <v>60.9</v>
      </c>
      <c r="J281" s="7">
        <v>41.3</v>
      </c>
      <c r="K281" s="7">
        <v>0</v>
      </c>
      <c r="L281" s="7">
        <v>0</v>
      </c>
      <c r="M281" s="7">
        <v>100</v>
      </c>
      <c r="N281" s="7">
        <v>54.1</v>
      </c>
      <c r="O281" s="7">
        <v>0</v>
      </c>
      <c r="P281" s="7">
        <v>46.7</v>
      </c>
      <c r="Q281" s="7">
        <v>53.6</v>
      </c>
      <c r="R281" s="7">
        <v>52.8</v>
      </c>
      <c r="S281" s="7">
        <v>34.1</v>
      </c>
      <c r="T281" s="7">
        <v>0</v>
      </c>
      <c r="U281" s="7">
        <v>0</v>
      </c>
      <c r="V281" s="7">
        <v>0</v>
      </c>
      <c r="W281" s="7">
        <v>0</v>
      </c>
      <c r="X281" s="7">
        <v>0</v>
      </c>
      <c r="Y281" s="7">
        <v>51.5</v>
      </c>
      <c r="Z281" s="7">
        <v>42.1</v>
      </c>
      <c r="AA281" s="7">
        <v>29.6</v>
      </c>
    </row>
    <row r="282" spans="2:27" s="5" customFormat="1" x14ac:dyDescent="0.2">
      <c r="B282" s="190" t="s">
        <v>50</v>
      </c>
      <c r="C282" s="15" t="s">
        <v>2</v>
      </c>
      <c r="D282" s="39">
        <v>205360</v>
      </c>
      <c r="E282" s="39">
        <v>19787</v>
      </c>
      <c r="F282" s="39">
        <v>849</v>
      </c>
      <c r="G282" s="6">
        <v>57</v>
      </c>
      <c r="H282" s="6">
        <v>23</v>
      </c>
      <c r="I282" s="6">
        <v>27</v>
      </c>
      <c r="J282" s="6">
        <v>64</v>
      </c>
      <c r="K282" s="6">
        <v>37</v>
      </c>
      <c r="L282" s="6">
        <v>54</v>
      </c>
      <c r="M282" s="6">
        <v>0</v>
      </c>
      <c r="N282" s="6">
        <v>45</v>
      </c>
      <c r="O282" s="6">
        <v>66</v>
      </c>
      <c r="P282" s="6">
        <v>26</v>
      </c>
      <c r="Q282" s="6">
        <v>58</v>
      </c>
      <c r="R282" s="6">
        <v>92</v>
      </c>
      <c r="S282" s="6">
        <v>22</v>
      </c>
      <c r="T282" s="6">
        <v>0</v>
      </c>
      <c r="U282" s="6">
        <v>4</v>
      </c>
      <c r="V282" s="6">
        <v>34</v>
      </c>
      <c r="W282" s="6">
        <v>60</v>
      </c>
      <c r="X282" s="6">
        <v>25</v>
      </c>
      <c r="Y282" s="6">
        <v>38</v>
      </c>
      <c r="Z282" s="6">
        <v>69</v>
      </c>
      <c r="AA282" s="6">
        <v>48</v>
      </c>
    </row>
    <row r="283" spans="2:27" s="5" customFormat="1" x14ac:dyDescent="0.2">
      <c r="B283" s="191"/>
      <c r="C283" s="15" t="s">
        <v>3</v>
      </c>
      <c r="D283" s="39">
        <v>21.6</v>
      </c>
      <c r="E283" s="39">
        <v>20.2</v>
      </c>
      <c r="F283" s="39">
        <v>50.5</v>
      </c>
      <c r="G283" s="7">
        <v>74</v>
      </c>
      <c r="H283" s="7">
        <v>38.299999999999997</v>
      </c>
      <c r="I283" s="7">
        <v>39.1</v>
      </c>
      <c r="J283" s="7">
        <v>52.9</v>
      </c>
      <c r="K283" s="7">
        <v>100</v>
      </c>
      <c r="L283" s="7">
        <v>67.5</v>
      </c>
      <c r="M283" s="7">
        <v>0</v>
      </c>
      <c r="N283" s="7">
        <v>45.9</v>
      </c>
      <c r="O283" s="7">
        <v>100</v>
      </c>
      <c r="P283" s="7">
        <v>21.3</v>
      </c>
      <c r="Q283" s="7">
        <v>46.4</v>
      </c>
      <c r="R283" s="7">
        <v>47.2</v>
      </c>
      <c r="S283" s="7">
        <v>25</v>
      </c>
      <c r="T283" s="7">
        <v>0</v>
      </c>
      <c r="U283" s="7">
        <v>25</v>
      </c>
      <c r="V283" s="7">
        <v>100</v>
      </c>
      <c r="W283" s="7">
        <v>87</v>
      </c>
      <c r="X283" s="7">
        <v>96.2</v>
      </c>
      <c r="Y283" s="7">
        <v>28.4</v>
      </c>
      <c r="Z283" s="7">
        <v>54.8</v>
      </c>
      <c r="AA283" s="7">
        <v>67.599999999999994</v>
      </c>
    </row>
    <row r="284" spans="2:27" s="5" customFormat="1" x14ac:dyDescent="0.2">
      <c r="B284" s="190" t="s">
        <v>51</v>
      </c>
      <c r="C284" s="15" t="s">
        <v>2</v>
      </c>
      <c r="D284" s="39">
        <v>2557</v>
      </c>
      <c r="E284" s="39">
        <v>197</v>
      </c>
      <c r="F284" s="39">
        <v>16</v>
      </c>
      <c r="G284" s="6">
        <v>0</v>
      </c>
      <c r="H284" s="6">
        <v>0</v>
      </c>
      <c r="I284" s="6">
        <v>0</v>
      </c>
      <c r="J284" s="6">
        <v>0</v>
      </c>
      <c r="K284" s="6">
        <v>0</v>
      </c>
      <c r="L284" s="6">
        <v>16</v>
      </c>
      <c r="M284" s="6">
        <v>0</v>
      </c>
      <c r="N284" s="6">
        <v>0</v>
      </c>
      <c r="O284" s="6">
        <v>0</v>
      </c>
      <c r="P284" s="6">
        <v>0</v>
      </c>
      <c r="Q284" s="6">
        <v>0</v>
      </c>
      <c r="R284" s="6">
        <v>0</v>
      </c>
      <c r="S284" s="6">
        <v>0</v>
      </c>
      <c r="T284" s="6">
        <v>0</v>
      </c>
      <c r="U284" s="6">
        <v>0</v>
      </c>
      <c r="V284" s="6">
        <v>0</v>
      </c>
      <c r="W284" s="6">
        <v>0</v>
      </c>
      <c r="X284" s="6">
        <v>0</v>
      </c>
      <c r="Y284" s="6">
        <v>0</v>
      </c>
      <c r="Z284" s="6">
        <v>0</v>
      </c>
      <c r="AA284" s="6">
        <v>0</v>
      </c>
    </row>
    <row r="285" spans="2:27" s="5" customFormat="1" x14ac:dyDescent="0.2">
      <c r="B285" s="191"/>
      <c r="C285" s="15" t="s">
        <v>3</v>
      </c>
      <c r="D285" s="39">
        <v>0.3</v>
      </c>
      <c r="E285" s="39">
        <v>0.2</v>
      </c>
      <c r="F285" s="39">
        <v>1</v>
      </c>
      <c r="G285" s="7">
        <v>0</v>
      </c>
      <c r="H285" s="7">
        <v>0</v>
      </c>
      <c r="I285" s="7">
        <v>0</v>
      </c>
      <c r="J285" s="7">
        <v>0</v>
      </c>
      <c r="K285" s="7">
        <v>0</v>
      </c>
      <c r="L285" s="7">
        <v>20</v>
      </c>
      <c r="M285" s="7">
        <v>0</v>
      </c>
      <c r="N285" s="7">
        <v>0</v>
      </c>
      <c r="O285" s="7">
        <v>0</v>
      </c>
      <c r="P285" s="7">
        <v>0</v>
      </c>
      <c r="Q285" s="7">
        <v>0</v>
      </c>
      <c r="R285" s="7">
        <v>0</v>
      </c>
      <c r="S285" s="7">
        <v>0</v>
      </c>
      <c r="T285" s="7">
        <v>0</v>
      </c>
      <c r="U285" s="7">
        <v>0</v>
      </c>
      <c r="V285" s="7">
        <v>0</v>
      </c>
      <c r="W285" s="7">
        <v>0</v>
      </c>
      <c r="X285" s="7">
        <v>0</v>
      </c>
      <c r="Y285" s="7">
        <v>0</v>
      </c>
      <c r="Z285" s="7">
        <v>0</v>
      </c>
      <c r="AA285" s="7">
        <v>0</v>
      </c>
    </row>
    <row r="286" spans="2:27" s="5" customFormat="1" x14ac:dyDescent="0.2">
      <c r="B286" s="190" t="s">
        <v>52</v>
      </c>
      <c r="C286" s="15" t="s">
        <v>2</v>
      </c>
      <c r="D286" s="39">
        <v>15372</v>
      </c>
      <c r="E286" s="39">
        <v>1337</v>
      </c>
      <c r="F286" s="39">
        <v>40</v>
      </c>
      <c r="G286" s="6">
        <v>6</v>
      </c>
      <c r="H286" s="6">
        <v>0</v>
      </c>
      <c r="I286" s="6">
        <v>0</v>
      </c>
      <c r="J286" s="6">
        <v>7</v>
      </c>
      <c r="K286" s="6">
        <v>0</v>
      </c>
      <c r="L286" s="6">
        <v>0</v>
      </c>
      <c r="M286" s="6">
        <v>0</v>
      </c>
      <c r="N286" s="6">
        <v>0</v>
      </c>
      <c r="O286" s="6">
        <v>0</v>
      </c>
      <c r="P286" s="6">
        <v>0</v>
      </c>
      <c r="Q286" s="6">
        <v>0</v>
      </c>
      <c r="R286" s="6">
        <v>0</v>
      </c>
      <c r="S286" s="6">
        <v>0</v>
      </c>
      <c r="T286" s="6">
        <v>0</v>
      </c>
      <c r="U286" s="6">
        <v>0</v>
      </c>
      <c r="V286" s="6">
        <v>0</v>
      </c>
      <c r="W286" s="6">
        <v>0</v>
      </c>
      <c r="X286" s="6">
        <v>0</v>
      </c>
      <c r="Y286" s="6">
        <v>27</v>
      </c>
      <c r="Z286" s="6">
        <v>0</v>
      </c>
      <c r="AA286" s="6">
        <v>0</v>
      </c>
    </row>
    <row r="287" spans="2:27" s="5" customFormat="1" x14ac:dyDescent="0.2">
      <c r="B287" s="191"/>
      <c r="C287" s="15" t="s">
        <v>3</v>
      </c>
      <c r="D287" s="39">
        <v>1.6</v>
      </c>
      <c r="E287" s="39">
        <v>1.4</v>
      </c>
      <c r="F287" s="39">
        <v>2.4</v>
      </c>
      <c r="G287" s="7">
        <v>7.8</v>
      </c>
      <c r="H287" s="7">
        <v>0</v>
      </c>
      <c r="I287" s="7">
        <v>0</v>
      </c>
      <c r="J287" s="7">
        <v>5.8</v>
      </c>
      <c r="K287" s="7">
        <v>0</v>
      </c>
      <c r="L287" s="7">
        <v>0</v>
      </c>
      <c r="M287" s="7">
        <v>0</v>
      </c>
      <c r="N287" s="7">
        <v>0</v>
      </c>
      <c r="O287" s="7">
        <v>0</v>
      </c>
      <c r="P287" s="7">
        <v>0</v>
      </c>
      <c r="Q287" s="7">
        <v>0</v>
      </c>
      <c r="R287" s="7">
        <v>0</v>
      </c>
      <c r="S287" s="7">
        <v>0</v>
      </c>
      <c r="T287" s="7">
        <v>0</v>
      </c>
      <c r="U287" s="7">
        <v>0</v>
      </c>
      <c r="V287" s="7">
        <v>0</v>
      </c>
      <c r="W287" s="7">
        <v>0</v>
      </c>
      <c r="X287" s="7">
        <v>0</v>
      </c>
      <c r="Y287" s="7">
        <v>20.100000000000001</v>
      </c>
      <c r="Z287" s="7">
        <v>0</v>
      </c>
      <c r="AA287" s="7">
        <v>0</v>
      </c>
    </row>
    <row r="288" spans="2:27" s="5" customFormat="1" x14ac:dyDescent="0.2">
      <c r="B288" s="190" t="s">
        <v>53</v>
      </c>
      <c r="C288" s="15" t="s">
        <v>2</v>
      </c>
      <c r="D288" s="39">
        <v>544474</v>
      </c>
      <c r="E288" s="39">
        <v>58879</v>
      </c>
      <c r="F288" s="39">
        <v>92</v>
      </c>
      <c r="G288" s="6">
        <v>14</v>
      </c>
      <c r="H288" s="6">
        <v>0</v>
      </c>
      <c r="I288" s="6">
        <v>0</v>
      </c>
      <c r="J288" s="6">
        <v>0</v>
      </c>
      <c r="K288" s="6">
        <v>0</v>
      </c>
      <c r="L288" s="6">
        <v>4</v>
      </c>
      <c r="M288" s="6">
        <v>0</v>
      </c>
      <c r="N288" s="6">
        <v>0</v>
      </c>
      <c r="O288" s="6">
        <v>0</v>
      </c>
      <c r="P288" s="6">
        <v>39</v>
      </c>
      <c r="Q288" s="6">
        <v>0</v>
      </c>
      <c r="R288" s="6">
        <v>0</v>
      </c>
      <c r="S288" s="6">
        <v>9</v>
      </c>
      <c r="T288" s="6">
        <v>10</v>
      </c>
      <c r="U288" s="6">
        <v>12</v>
      </c>
      <c r="V288" s="6">
        <v>0</v>
      </c>
      <c r="W288" s="6">
        <v>0</v>
      </c>
      <c r="X288" s="6">
        <v>0</v>
      </c>
      <c r="Y288" s="6">
        <v>0</v>
      </c>
      <c r="Z288" s="6">
        <v>4</v>
      </c>
      <c r="AA288" s="6">
        <v>0</v>
      </c>
    </row>
    <row r="289" spans="1:27" s="5" customFormat="1" x14ac:dyDescent="0.2">
      <c r="B289" s="191"/>
      <c r="C289" s="15" t="s">
        <v>3</v>
      </c>
      <c r="D289" s="39">
        <v>57.2</v>
      </c>
      <c r="E289" s="39">
        <v>60</v>
      </c>
      <c r="F289" s="39">
        <v>5.5</v>
      </c>
      <c r="G289" s="7">
        <v>18.2</v>
      </c>
      <c r="H289" s="7">
        <v>0</v>
      </c>
      <c r="I289" s="7">
        <v>0</v>
      </c>
      <c r="J289" s="7">
        <v>0</v>
      </c>
      <c r="K289" s="7">
        <v>0</v>
      </c>
      <c r="L289" s="7">
        <v>5</v>
      </c>
      <c r="M289" s="7">
        <v>0</v>
      </c>
      <c r="N289" s="7">
        <v>0</v>
      </c>
      <c r="O289" s="7">
        <v>0</v>
      </c>
      <c r="P289" s="7">
        <v>32</v>
      </c>
      <c r="Q289" s="7">
        <v>0</v>
      </c>
      <c r="R289" s="7">
        <v>0</v>
      </c>
      <c r="S289" s="7">
        <v>10.199999999999999</v>
      </c>
      <c r="T289" s="7">
        <v>100</v>
      </c>
      <c r="U289" s="7">
        <v>75</v>
      </c>
      <c r="V289" s="7">
        <v>0</v>
      </c>
      <c r="W289" s="7">
        <v>0</v>
      </c>
      <c r="X289" s="7">
        <v>0</v>
      </c>
      <c r="Y289" s="7">
        <v>0</v>
      </c>
      <c r="Z289" s="7">
        <v>3.2</v>
      </c>
      <c r="AA289" s="7">
        <v>0</v>
      </c>
    </row>
    <row r="290" spans="1:27" s="5" customFormat="1" x14ac:dyDescent="0.2">
      <c r="B290" s="190" t="s">
        <v>54</v>
      </c>
      <c r="C290" s="15" t="s">
        <v>2</v>
      </c>
      <c r="D290" s="39">
        <v>11525</v>
      </c>
      <c r="E290" s="39">
        <v>677</v>
      </c>
      <c r="F290" s="39">
        <v>3</v>
      </c>
      <c r="G290" s="6">
        <v>0</v>
      </c>
      <c r="H290" s="6">
        <v>0</v>
      </c>
      <c r="I290" s="6">
        <v>0</v>
      </c>
      <c r="J290" s="6">
        <v>0</v>
      </c>
      <c r="K290" s="6">
        <v>0</v>
      </c>
      <c r="L290" s="6">
        <v>0</v>
      </c>
      <c r="M290" s="6">
        <v>0</v>
      </c>
      <c r="N290" s="6">
        <v>0</v>
      </c>
      <c r="O290" s="6">
        <v>0</v>
      </c>
      <c r="P290" s="6">
        <v>0</v>
      </c>
      <c r="Q290" s="6">
        <v>0</v>
      </c>
      <c r="R290" s="6">
        <v>0</v>
      </c>
      <c r="S290" s="6">
        <v>0</v>
      </c>
      <c r="T290" s="6">
        <v>0</v>
      </c>
      <c r="U290" s="6">
        <v>0</v>
      </c>
      <c r="V290" s="6">
        <v>0</v>
      </c>
      <c r="W290" s="6">
        <v>0</v>
      </c>
      <c r="X290" s="6">
        <v>1</v>
      </c>
      <c r="Y290" s="6">
        <v>0</v>
      </c>
      <c r="Z290" s="6">
        <v>0</v>
      </c>
      <c r="AA290" s="6">
        <v>2</v>
      </c>
    </row>
    <row r="291" spans="1:27" s="5" customFormat="1" x14ac:dyDescent="0.2">
      <c r="B291" s="191"/>
      <c r="C291" s="15" t="s">
        <v>3</v>
      </c>
      <c r="D291" s="39">
        <v>1.2</v>
      </c>
      <c r="E291" s="39">
        <v>0.7</v>
      </c>
      <c r="F291" s="39">
        <v>0.2</v>
      </c>
      <c r="G291" s="7">
        <v>0</v>
      </c>
      <c r="H291" s="7">
        <v>0</v>
      </c>
      <c r="I291" s="7">
        <v>0</v>
      </c>
      <c r="J291" s="7">
        <v>0</v>
      </c>
      <c r="K291" s="7">
        <v>0</v>
      </c>
      <c r="L291" s="7">
        <v>0</v>
      </c>
      <c r="M291" s="7">
        <v>0</v>
      </c>
      <c r="N291" s="7">
        <v>0</v>
      </c>
      <c r="O291" s="7">
        <v>0</v>
      </c>
      <c r="P291" s="7">
        <v>0</v>
      </c>
      <c r="Q291" s="7">
        <v>0</v>
      </c>
      <c r="R291" s="7">
        <v>0</v>
      </c>
      <c r="S291" s="7">
        <v>0</v>
      </c>
      <c r="T291" s="7">
        <v>0</v>
      </c>
      <c r="U291" s="7">
        <v>0</v>
      </c>
      <c r="V291" s="7">
        <v>0</v>
      </c>
      <c r="W291" s="7">
        <v>0</v>
      </c>
      <c r="X291" s="7">
        <v>3.8</v>
      </c>
      <c r="Y291" s="7">
        <v>0</v>
      </c>
      <c r="Z291" s="7">
        <v>0</v>
      </c>
      <c r="AA291" s="7">
        <v>2.8</v>
      </c>
    </row>
    <row r="292" spans="1:27" s="5" customFormat="1" x14ac:dyDescent="0.2">
      <c r="A292" s="5" t="s">
        <v>179</v>
      </c>
      <c r="B292" s="16" t="s">
        <v>168</v>
      </c>
      <c r="C292" s="16" t="s">
        <v>2</v>
      </c>
      <c r="D292" s="40">
        <v>1564681</v>
      </c>
      <c r="E292" s="40">
        <v>157980</v>
      </c>
      <c r="F292" s="40">
        <v>7865</v>
      </c>
      <c r="G292" s="5">
        <v>377</v>
      </c>
      <c r="H292" s="5">
        <v>436</v>
      </c>
      <c r="I292" s="5">
        <v>366</v>
      </c>
      <c r="J292" s="5">
        <v>299</v>
      </c>
      <c r="K292" s="5">
        <v>251</v>
      </c>
      <c r="L292" s="5">
        <v>485</v>
      </c>
      <c r="M292" s="5">
        <v>463</v>
      </c>
      <c r="N292" s="5">
        <v>223</v>
      </c>
      <c r="O292" s="5">
        <v>384</v>
      </c>
      <c r="P292" s="5">
        <v>476</v>
      </c>
      <c r="Q292" s="5">
        <v>368</v>
      </c>
      <c r="R292" s="5">
        <v>500</v>
      </c>
      <c r="S292" s="5">
        <v>361</v>
      </c>
      <c r="T292" s="5">
        <v>187</v>
      </c>
      <c r="U292" s="5">
        <v>271</v>
      </c>
      <c r="V292" s="5">
        <v>367</v>
      </c>
      <c r="W292" s="5">
        <v>358</v>
      </c>
      <c r="X292" s="5">
        <v>481</v>
      </c>
      <c r="Y292" s="5">
        <v>424</v>
      </c>
      <c r="Z292" s="5">
        <v>421</v>
      </c>
      <c r="AA292" s="5">
        <v>367</v>
      </c>
    </row>
    <row r="293" spans="1:27" s="5" customFormat="1" x14ac:dyDescent="0.2">
      <c r="B293" s="16"/>
      <c r="C293" s="16" t="s">
        <v>3</v>
      </c>
      <c r="D293" s="40">
        <v>100</v>
      </c>
      <c r="E293" s="40">
        <v>100</v>
      </c>
      <c r="F293" s="40">
        <v>100</v>
      </c>
      <c r="G293" s="5">
        <v>100</v>
      </c>
      <c r="H293" s="5">
        <v>100</v>
      </c>
      <c r="I293" s="5">
        <v>100</v>
      </c>
      <c r="J293" s="5">
        <v>100</v>
      </c>
      <c r="K293" s="5">
        <v>100</v>
      </c>
      <c r="L293" s="5">
        <v>100</v>
      </c>
      <c r="M293" s="5">
        <v>100</v>
      </c>
      <c r="N293" s="5">
        <v>100</v>
      </c>
      <c r="O293" s="5">
        <v>100</v>
      </c>
      <c r="P293" s="5">
        <v>100</v>
      </c>
      <c r="Q293" s="5">
        <v>100</v>
      </c>
      <c r="R293" s="5">
        <v>100</v>
      </c>
      <c r="S293" s="5">
        <v>100</v>
      </c>
      <c r="T293" s="5">
        <v>100</v>
      </c>
      <c r="U293" s="5">
        <v>100</v>
      </c>
      <c r="V293" s="5">
        <v>100</v>
      </c>
      <c r="W293" s="5">
        <v>100</v>
      </c>
      <c r="X293" s="5">
        <v>100</v>
      </c>
      <c r="Y293" s="5">
        <v>100</v>
      </c>
      <c r="Z293" s="5">
        <v>100</v>
      </c>
      <c r="AA293" s="5">
        <v>100</v>
      </c>
    </row>
    <row r="294" spans="1:27" s="5" customFormat="1" x14ac:dyDescent="0.2">
      <c r="B294" s="16" t="s">
        <v>169</v>
      </c>
      <c r="C294" s="16" t="s">
        <v>2</v>
      </c>
      <c r="D294" s="40">
        <v>522789</v>
      </c>
      <c r="E294" s="40">
        <v>55202</v>
      </c>
      <c r="F294" s="40">
        <v>2650</v>
      </c>
      <c r="G294" s="5">
        <v>130</v>
      </c>
      <c r="H294" s="5">
        <v>140</v>
      </c>
      <c r="I294" s="5">
        <v>121</v>
      </c>
      <c r="J294" s="5">
        <v>102</v>
      </c>
      <c r="K294" s="5">
        <v>88</v>
      </c>
      <c r="L294" s="5">
        <v>142</v>
      </c>
      <c r="M294" s="5">
        <v>160</v>
      </c>
      <c r="N294" s="5">
        <v>93</v>
      </c>
      <c r="O294" s="5">
        <v>139</v>
      </c>
      <c r="P294" s="5">
        <v>145</v>
      </c>
      <c r="Q294" s="5">
        <v>118</v>
      </c>
      <c r="R294" s="5">
        <v>164</v>
      </c>
      <c r="S294" s="5">
        <v>128</v>
      </c>
      <c r="T294" s="5">
        <v>84</v>
      </c>
      <c r="U294" s="5">
        <v>113</v>
      </c>
      <c r="V294" s="5">
        <v>148</v>
      </c>
      <c r="W294" s="5">
        <v>120</v>
      </c>
      <c r="X294" s="5">
        <v>141</v>
      </c>
      <c r="Y294" s="5">
        <v>123</v>
      </c>
      <c r="Z294" s="5">
        <v>140</v>
      </c>
      <c r="AA294" s="5">
        <v>111</v>
      </c>
    </row>
    <row r="295" spans="1:27" s="5" customFormat="1" x14ac:dyDescent="0.2">
      <c r="B295" s="16"/>
      <c r="C295" s="16" t="s">
        <v>3</v>
      </c>
      <c r="D295" s="40">
        <v>33.4</v>
      </c>
      <c r="E295" s="40">
        <v>34.9</v>
      </c>
      <c r="F295" s="40">
        <v>33.700000000000003</v>
      </c>
      <c r="G295" s="5">
        <v>34.5</v>
      </c>
      <c r="H295" s="5">
        <v>32.1</v>
      </c>
      <c r="I295" s="5">
        <v>33.1</v>
      </c>
      <c r="J295" s="5">
        <v>34.1</v>
      </c>
      <c r="K295" s="5">
        <v>35.1</v>
      </c>
      <c r="L295" s="5">
        <v>29.3</v>
      </c>
      <c r="M295" s="5">
        <v>34.6</v>
      </c>
      <c r="N295" s="5">
        <v>41.7</v>
      </c>
      <c r="O295" s="5">
        <v>36.200000000000003</v>
      </c>
      <c r="P295" s="5">
        <v>30.5</v>
      </c>
      <c r="Q295" s="5">
        <v>32.1</v>
      </c>
      <c r="R295" s="5">
        <v>32.799999999999997</v>
      </c>
      <c r="S295" s="5">
        <v>35.5</v>
      </c>
      <c r="T295" s="5">
        <v>44.9</v>
      </c>
      <c r="U295" s="5">
        <v>41.7</v>
      </c>
      <c r="V295" s="5">
        <v>40.299999999999997</v>
      </c>
      <c r="W295" s="5">
        <v>33.5</v>
      </c>
      <c r="X295" s="5">
        <v>29.3</v>
      </c>
      <c r="Y295" s="5">
        <v>29</v>
      </c>
      <c r="Z295" s="5">
        <v>33.299999999999997</v>
      </c>
      <c r="AA295" s="5">
        <v>30.2</v>
      </c>
    </row>
    <row r="296" spans="1:27" s="5" customFormat="1" x14ac:dyDescent="0.2">
      <c r="B296" s="16" t="s">
        <v>170</v>
      </c>
      <c r="C296" s="16" t="s">
        <v>2</v>
      </c>
      <c r="D296" s="40">
        <v>407873</v>
      </c>
      <c r="E296" s="40">
        <v>40067</v>
      </c>
      <c r="F296" s="40">
        <v>1846</v>
      </c>
      <c r="G296" s="5">
        <v>89</v>
      </c>
      <c r="H296" s="5">
        <v>113</v>
      </c>
      <c r="I296" s="5">
        <v>90</v>
      </c>
      <c r="J296" s="5">
        <v>85</v>
      </c>
      <c r="K296" s="5">
        <v>90</v>
      </c>
      <c r="L296" s="5">
        <v>76</v>
      </c>
      <c r="M296" s="5">
        <v>89</v>
      </c>
      <c r="N296" s="5">
        <v>71</v>
      </c>
      <c r="O296" s="5">
        <v>81</v>
      </c>
      <c r="P296" s="5">
        <v>99</v>
      </c>
      <c r="Q296" s="5">
        <v>62</v>
      </c>
      <c r="R296" s="5">
        <v>118</v>
      </c>
      <c r="S296" s="5">
        <v>111</v>
      </c>
      <c r="T296" s="5">
        <v>69</v>
      </c>
      <c r="U296" s="5">
        <v>104</v>
      </c>
      <c r="V296" s="5">
        <v>101</v>
      </c>
      <c r="W296" s="5">
        <v>98</v>
      </c>
      <c r="X296" s="5">
        <v>85</v>
      </c>
      <c r="Y296" s="5">
        <v>79</v>
      </c>
      <c r="Z296" s="5">
        <v>79</v>
      </c>
      <c r="AA296" s="5">
        <v>57</v>
      </c>
    </row>
    <row r="297" spans="1:27" s="5" customFormat="1" x14ac:dyDescent="0.2">
      <c r="B297" s="16"/>
      <c r="C297" s="16" t="s">
        <v>3</v>
      </c>
      <c r="D297" s="40">
        <v>26.1</v>
      </c>
      <c r="E297" s="40">
        <v>25.4</v>
      </c>
      <c r="F297" s="40">
        <v>23.5</v>
      </c>
      <c r="G297" s="5">
        <v>23.6</v>
      </c>
      <c r="H297" s="5">
        <v>25.9</v>
      </c>
      <c r="I297" s="5">
        <v>24.6</v>
      </c>
      <c r="J297" s="5">
        <v>28.4</v>
      </c>
      <c r="K297" s="5">
        <v>35.9</v>
      </c>
      <c r="L297" s="5">
        <v>15.7</v>
      </c>
      <c r="M297" s="5">
        <v>19.2</v>
      </c>
      <c r="N297" s="5">
        <v>31.8</v>
      </c>
      <c r="O297" s="5">
        <v>21.1</v>
      </c>
      <c r="P297" s="5">
        <v>20.8</v>
      </c>
      <c r="Q297" s="5">
        <v>16.8</v>
      </c>
      <c r="R297" s="5">
        <v>23.6</v>
      </c>
      <c r="S297" s="5">
        <v>30.7</v>
      </c>
      <c r="T297" s="5">
        <v>36.9</v>
      </c>
      <c r="U297" s="5">
        <v>38.4</v>
      </c>
      <c r="V297" s="5">
        <v>27.5</v>
      </c>
      <c r="W297" s="5">
        <v>27.4</v>
      </c>
      <c r="X297" s="5">
        <v>17.7</v>
      </c>
      <c r="Y297" s="5">
        <v>18.600000000000001</v>
      </c>
      <c r="Z297" s="5">
        <v>18.8</v>
      </c>
      <c r="AA297" s="5">
        <v>15.5</v>
      </c>
    </row>
    <row r="298" spans="1:27" s="5" customFormat="1" x14ac:dyDescent="0.2">
      <c r="B298" s="16" t="s">
        <v>171</v>
      </c>
      <c r="C298" s="16" t="s">
        <v>2</v>
      </c>
      <c r="D298" s="40">
        <v>634019</v>
      </c>
      <c r="E298" s="40">
        <v>62711</v>
      </c>
      <c r="F298" s="40">
        <v>3369</v>
      </c>
      <c r="G298" s="5">
        <v>158</v>
      </c>
      <c r="H298" s="5">
        <v>183</v>
      </c>
      <c r="I298" s="5">
        <v>155</v>
      </c>
      <c r="J298" s="5">
        <v>112</v>
      </c>
      <c r="K298" s="5">
        <v>73</v>
      </c>
      <c r="L298" s="5">
        <v>267</v>
      </c>
      <c r="M298" s="5">
        <v>214</v>
      </c>
      <c r="N298" s="5">
        <v>59</v>
      </c>
      <c r="O298" s="5">
        <v>164</v>
      </c>
      <c r="P298" s="5">
        <v>232</v>
      </c>
      <c r="Q298" s="5">
        <v>188</v>
      </c>
      <c r="R298" s="5">
        <v>218</v>
      </c>
      <c r="S298" s="5">
        <v>122</v>
      </c>
      <c r="T298" s="5">
        <v>34</v>
      </c>
      <c r="U298" s="5">
        <v>54</v>
      </c>
      <c r="V298" s="5">
        <v>118</v>
      </c>
      <c r="W298" s="5">
        <v>140</v>
      </c>
      <c r="X298" s="5">
        <v>255</v>
      </c>
      <c r="Y298" s="5">
        <v>222</v>
      </c>
      <c r="Z298" s="5">
        <v>202</v>
      </c>
      <c r="AA298" s="5">
        <v>199</v>
      </c>
    </row>
    <row r="299" spans="1:27" s="5" customFormat="1" x14ac:dyDescent="0.2">
      <c r="B299" s="16"/>
      <c r="C299" s="16" t="s">
        <v>3</v>
      </c>
      <c r="D299" s="40">
        <v>40.5</v>
      </c>
      <c r="E299" s="40">
        <v>39.700000000000003</v>
      </c>
      <c r="F299" s="40">
        <v>42.8</v>
      </c>
      <c r="G299" s="5">
        <v>41.9</v>
      </c>
      <c r="H299" s="5">
        <v>42</v>
      </c>
      <c r="I299" s="5">
        <v>42.3</v>
      </c>
      <c r="J299" s="5">
        <v>37.5</v>
      </c>
      <c r="K299" s="5">
        <v>29.1</v>
      </c>
      <c r="L299" s="5">
        <v>55.1</v>
      </c>
      <c r="M299" s="5">
        <v>46.2</v>
      </c>
      <c r="N299" s="5">
        <v>26.5</v>
      </c>
      <c r="O299" s="5">
        <v>42.7</v>
      </c>
      <c r="P299" s="5">
        <v>48.7</v>
      </c>
      <c r="Q299" s="5">
        <v>51.1</v>
      </c>
      <c r="R299" s="5">
        <v>43.6</v>
      </c>
      <c r="S299" s="5">
        <v>33.799999999999997</v>
      </c>
      <c r="T299" s="5">
        <v>18.2</v>
      </c>
      <c r="U299" s="5">
        <v>19.899999999999999</v>
      </c>
      <c r="V299" s="5">
        <v>32.200000000000003</v>
      </c>
      <c r="W299" s="5">
        <v>39.1</v>
      </c>
      <c r="X299" s="5">
        <v>53</v>
      </c>
      <c r="Y299" s="5">
        <v>52.4</v>
      </c>
      <c r="Z299" s="5">
        <v>48</v>
      </c>
      <c r="AA299" s="5">
        <v>54.2</v>
      </c>
    </row>
    <row r="300" spans="1:27" s="10" customFormat="1" x14ac:dyDescent="0.2">
      <c r="B300" s="42" t="s">
        <v>356</v>
      </c>
      <c r="C300" s="42" t="s">
        <v>2</v>
      </c>
      <c r="D300" s="43">
        <v>151744</v>
      </c>
      <c r="E300" s="43">
        <v>16109</v>
      </c>
      <c r="F300" s="43">
        <v>915</v>
      </c>
      <c r="G300" s="10">
        <f>G302+G304+G306</f>
        <v>47</v>
      </c>
      <c r="H300" s="10">
        <f t="shared" ref="H300:AA300" si="17">H302+H304+H306</f>
        <v>54</v>
      </c>
      <c r="I300" s="10">
        <f t="shared" si="17"/>
        <v>34</v>
      </c>
      <c r="J300" s="10">
        <f t="shared" si="17"/>
        <v>44</v>
      </c>
      <c r="K300" s="10">
        <f t="shared" si="17"/>
        <v>40</v>
      </c>
      <c r="L300" s="10">
        <f t="shared" si="17"/>
        <v>50</v>
      </c>
      <c r="M300" s="10">
        <f t="shared" si="17"/>
        <v>53</v>
      </c>
      <c r="N300" s="10">
        <f t="shared" si="17"/>
        <v>26</v>
      </c>
      <c r="O300" s="10">
        <f t="shared" si="17"/>
        <v>41</v>
      </c>
      <c r="P300" s="10">
        <f t="shared" si="17"/>
        <v>46</v>
      </c>
      <c r="Q300" s="10">
        <f t="shared" si="17"/>
        <v>35</v>
      </c>
      <c r="R300" s="10">
        <f t="shared" si="17"/>
        <v>62</v>
      </c>
      <c r="S300" s="10">
        <f t="shared" si="17"/>
        <v>43</v>
      </c>
      <c r="T300" s="10">
        <f t="shared" si="17"/>
        <v>18</v>
      </c>
      <c r="U300" s="10">
        <f t="shared" si="17"/>
        <v>40</v>
      </c>
      <c r="V300" s="10">
        <f t="shared" si="17"/>
        <v>46</v>
      </c>
      <c r="W300" s="10">
        <f t="shared" si="17"/>
        <v>51</v>
      </c>
      <c r="X300" s="10">
        <f t="shared" si="17"/>
        <v>60</v>
      </c>
      <c r="Y300" s="10">
        <f t="shared" si="17"/>
        <v>52</v>
      </c>
      <c r="Z300" s="10">
        <f t="shared" si="17"/>
        <v>40</v>
      </c>
      <c r="AA300" s="10">
        <f t="shared" si="17"/>
        <v>33</v>
      </c>
    </row>
    <row r="301" spans="1:27" s="10" customFormat="1" x14ac:dyDescent="0.2">
      <c r="B301" s="42"/>
      <c r="C301" s="42" t="s">
        <v>3</v>
      </c>
      <c r="D301" s="43">
        <v>9.6999999999999993</v>
      </c>
      <c r="E301" s="43">
        <v>10.199999999999999</v>
      </c>
      <c r="F301" s="43">
        <v>11.6</v>
      </c>
      <c r="G301" s="45">
        <f>G300/G292*100</f>
        <v>12.46684350132626</v>
      </c>
      <c r="H301" s="45">
        <f t="shared" ref="H301:AA301" si="18">H300/H292*100</f>
        <v>12.385321100917432</v>
      </c>
      <c r="I301" s="45">
        <f t="shared" si="18"/>
        <v>9.2896174863387984</v>
      </c>
      <c r="J301" s="45">
        <f t="shared" si="18"/>
        <v>14.715719063545151</v>
      </c>
      <c r="K301" s="45">
        <f t="shared" si="18"/>
        <v>15.936254980079681</v>
      </c>
      <c r="L301" s="45">
        <f t="shared" si="18"/>
        <v>10.309278350515463</v>
      </c>
      <c r="M301" s="45">
        <f t="shared" si="18"/>
        <v>11.447084233261338</v>
      </c>
      <c r="N301" s="45">
        <f t="shared" si="18"/>
        <v>11.659192825112108</v>
      </c>
      <c r="O301" s="45">
        <f t="shared" si="18"/>
        <v>10.677083333333332</v>
      </c>
      <c r="P301" s="45">
        <f t="shared" si="18"/>
        <v>9.6638655462184886</v>
      </c>
      <c r="Q301" s="45">
        <f t="shared" si="18"/>
        <v>9.5108695652173925</v>
      </c>
      <c r="R301" s="45">
        <f t="shared" si="18"/>
        <v>12.4</v>
      </c>
      <c r="S301" s="45">
        <f t="shared" si="18"/>
        <v>11.911357340720222</v>
      </c>
      <c r="T301" s="45">
        <f t="shared" si="18"/>
        <v>9.6256684491978604</v>
      </c>
      <c r="U301" s="45">
        <f t="shared" si="18"/>
        <v>14.760147601476014</v>
      </c>
      <c r="V301" s="45">
        <f t="shared" si="18"/>
        <v>12.534059945504087</v>
      </c>
      <c r="W301" s="45">
        <f t="shared" si="18"/>
        <v>14.24581005586592</v>
      </c>
      <c r="X301" s="45">
        <f t="shared" si="18"/>
        <v>12.474012474012476</v>
      </c>
      <c r="Y301" s="45">
        <f t="shared" si="18"/>
        <v>12.264150943396226</v>
      </c>
      <c r="Z301" s="45">
        <f t="shared" si="18"/>
        <v>9.5011876484560567</v>
      </c>
      <c r="AA301" s="45">
        <f t="shared" si="18"/>
        <v>8.9918256130790191</v>
      </c>
    </row>
    <row r="302" spans="1:27" s="5" customFormat="1" x14ac:dyDescent="0.2">
      <c r="B302" s="16" t="s">
        <v>172</v>
      </c>
      <c r="C302" s="16" t="s">
        <v>2</v>
      </c>
      <c r="D302" s="40">
        <v>22130</v>
      </c>
      <c r="E302" s="40">
        <v>2249</v>
      </c>
      <c r="F302" s="40">
        <v>124</v>
      </c>
      <c r="G302" s="5">
        <v>5</v>
      </c>
      <c r="H302" s="5">
        <v>8</v>
      </c>
      <c r="I302" s="5">
        <v>2</v>
      </c>
      <c r="J302" s="5">
        <v>5</v>
      </c>
      <c r="K302" s="5">
        <v>3</v>
      </c>
      <c r="L302" s="5">
        <v>10</v>
      </c>
      <c r="M302" s="5">
        <v>8</v>
      </c>
      <c r="N302" s="5">
        <v>6</v>
      </c>
      <c r="O302" s="5">
        <v>4</v>
      </c>
      <c r="P302" s="5">
        <v>9</v>
      </c>
      <c r="Q302" s="5">
        <v>2</v>
      </c>
      <c r="R302" s="5">
        <v>6</v>
      </c>
      <c r="S302" s="5">
        <v>7</v>
      </c>
      <c r="T302" s="5">
        <v>4</v>
      </c>
      <c r="U302" s="5">
        <v>8</v>
      </c>
      <c r="V302" s="5">
        <v>5</v>
      </c>
      <c r="W302" s="5">
        <v>10</v>
      </c>
      <c r="X302" s="5">
        <v>8</v>
      </c>
      <c r="Y302" s="5">
        <v>2</v>
      </c>
      <c r="Z302" s="5">
        <v>5</v>
      </c>
      <c r="AA302" s="5">
        <v>7</v>
      </c>
    </row>
    <row r="303" spans="1:27" s="5" customFormat="1" x14ac:dyDescent="0.2">
      <c r="B303" s="16"/>
      <c r="C303" s="16" t="s">
        <v>3</v>
      </c>
      <c r="D303" s="40">
        <v>1.4</v>
      </c>
      <c r="E303" s="40">
        <v>1.4</v>
      </c>
      <c r="F303" s="40">
        <v>1.6</v>
      </c>
      <c r="G303" s="5">
        <v>1.3</v>
      </c>
      <c r="H303" s="5">
        <v>1.8</v>
      </c>
      <c r="I303" s="5">
        <v>0.5</v>
      </c>
      <c r="J303" s="5">
        <v>1.7</v>
      </c>
      <c r="K303" s="5">
        <v>1.2</v>
      </c>
      <c r="L303" s="5">
        <v>2.1</v>
      </c>
      <c r="M303" s="5">
        <v>1.7</v>
      </c>
      <c r="N303" s="5">
        <v>2.7</v>
      </c>
      <c r="O303" s="5">
        <v>1</v>
      </c>
      <c r="P303" s="5">
        <v>1.9</v>
      </c>
      <c r="Q303" s="5">
        <v>0.5</v>
      </c>
      <c r="R303" s="5">
        <v>1.2</v>
      </c>
      <c r="S303" s="5">
        <v>1.9</v>
      </c>
      <c r="T303" s="5">
        <v>2.1</v>
      </c>
      <c r="U303" s="5">
        <v>3</v>
      </c>
      <c r="V303" s="5">
        <v>1.4</v>
      </c>
      <c r="W303" s="5">
        <v>2.8</v>
      </c>
      <c r="X303" s="5">
        <v>1.7</v>
      </c>
      <c r="Y303" s="5">
        <v>0.5</v>
      </c>
      <c r="Z303" s="5">
        <v>1.2</v>
      </c>
      <c r="AA303" s="5">
        <v>1.9</v>
      </c>
    </row>
    <row r="304" spans="1:27" s="5" customFormat="1" x14ac:dyDescent="0.2">
      <c r="B304" s="16" t="s">
        <v>173</v>
      </c>
      <c r="C304" s="16" t="s">
        <v>2</v>
      </c>
      <c r="D304" s="40">
        <v>80078</v>
      </c>
      <c r="E304" s="40">
        <v>8515</v>
      </c>
      <c r="F304" s="40">
        <v>438</v>
      </c>
      <c r="G304" s="5">
        <v>22</v>
      </c>
      <c r="H304" s="5">
        <v>27</v>
      </c>
      <c r="I304" s="5">
        <v>18</v>
      </c>
      <c r="J304" s="5">
        <v>25</v>
      </c>
      <c r="K304" s="5">
        <v>24</v>
      </c>
      <c r="L304" s="5">
        <v>21</v>
      </c>
      <c r="M304" s="5">
        <v>23</v>
      </c>
      <c r="N304" s="5">
        <v>15</v>
      </c>
      <c r="O304" s="5">
        <v>19</v>
      </c>
      <c r="P304" s="5">
        <v>15</v>
      </c>
      <c r="Q304" s="5">
        <v>10</v>
      </c>
      <c r="R304" s="5">
        <v>28</v>
      </c>
      <c r="S304" s="5">
        <v>24</v>
      </c>
      <c r="T304" s="5">
        <v>11</v>
      </c>
      <c r="U304" s="5">
        <v>28</v>
      </c>
      <c r="V304" s="5">
        <v>28</v>
      </c>
      <c r="W304" s="5">
        <v>24</v>
      </c>
      <c r="X304" s="5">
        <v>27</v>
      </c>
      <c r="Y304" s="5">
        <v>27</v>
      </c>
      <c r="Z304" s="5">
        <v>14</v>
      </c>
      <c r="AA304" s="5">
        <v>8</v>
      </c>
    </row>
    <row r="305" spans="1:27" s="5" customFormat="1" x14ac:dyDescent="0.2">
      <c r="B305" s="16"/>
      <c r="C305" s="16" t="s">
        <v>3</v>
      </c>
      <c r="D305" s="40">
        <v>5.0999999999999996</v>
      </c>
      <c r="E305" s="40">
        <v>5.4</v>
      </c>
      <c r="F305" s="40">
        <v>5.6</v>
      </c>
      <c r="G305" s="5">
        <v>5.8</v>
      </c>
      <c r="H305" s="5">
        <v>6.2</v>
      </c>
      <c r="I305" s="5">
        <v>4.9000000000000004</v>
      </c>
      <c r="J305" s="5">
        <v>8.4</v>
      </c>
      <c r="K305" s="5">
        <v>9.6</v>
      </c>
      <c r="L305" s="5">
        <v>4.3</v>
      </c>
      <c r="M305" s="5">
        <v>5</v>
      </c>
      <c r="N305" s="5">
        <v>6.7</v>
      </c>
      <c r="O305" s="5">
        <v>4.9000000000000004</v>
      </c>
      <c r="P305" s="5">
        <v>3.2</v>
      </c>
      <c r="Q305" s="5">
        <v>2.7</v>
      </c>
      <c r="R305" s="5">
        <v>5.6</v>
      </c>
      <c r="S305" s="5">
        <v>6.6</v>
      </c>
      <c r="T305" s="5">
        <v>5.9</v>
      </c>
      <c r="U305" s="5">
        <v>10.3</v>
      </c>
      <c r="V305" s="5">
        <v>7.6</v>
      </c>
      <c r="W305" s="5">
        <v>6.7</v>
      </c>
      <c r="X305" s="5">
        <v>5.6</v>
      </c>
      <c r="Y305" s="5">
        <v>6.4</v>
      </c>
      <c r="Z305" s="5">
        <v>3.3</v>
      </c>
      <c r="AA305" s="5">
        <v>2.2000000000000002</v>
      </c>
    </row>
    <row r="306" spans="1:27" s="5" customFormat="1" x14ac:dyDescent="0.2">
      <c r="B306" s="16" t="s">
        <v>174</v>
      </c>
      <c r="C306" s="16" t="s">
        <v>2</v>
      </c>
      <c r="D306" s="40">
        <v>49536</v>
      </c>
      <c r="E306" s="40">
        <v>5345</v>
      </c>
      <c r="F306" s="40">
        <v>353</v>
      </c>
      <c r="G306" s="5">
        <v>20</v>
      </c>
      <c r="H306" s="5">
        <v>19</v>
      </c>
      <c r="I306" s="5">
        <v>14</v>
      </c>
      <c r="J306" s="5">
        <v>14</v>
      </c>
      <c r="K306" s="5">
        <v>13</v>
      </c>
      <c r="L306" s="5">
        <v>19</v>
      </c>
      <c r="M306" s="5">
        <v>22</v>
      </c>
      <c r="N306" s="5">
        <v>5</v>
      </c>
      <c r="O306" s="5">
        <v>18</v>
      </c>
      <c r="P306" s="5">
        <v>22</v>
      </c>
      <c r="Q306" s="5">
        <v>23</v>
      </c>
      <c r="R306" s="5">
        <v>28</v>
      </c>
      <c r="S306" s="5">
        <v>12</v>
      </c>
      <c r="T306" s="5">
        <v>3</v>
      </c>
      <c r="U306" s="5">
        <v>4</v>
      </c>
      <c r="V306" s="5">
        <v>13</v>
      </c>
      <c r="W306" s="5">
        <v>17</v>
      </c>
      <c r="X306" s="5">
        <v>25</v>
      </c>
      <c r="Y306" s="5">
        <v>23</v>
      </c>
      <c r="Z306" s="5">
        <v>21</v>
      </c>
      <c r="AA306" s="5">
        <v>18</v>
      </c>
    </row>
    <row r="307" spans="1:27" s="5" customFormat="1" x14ac:dyDescent="0.2">
      <c r="B307" s="16"/>
      <c r="C307" s="16" t="s">
        <v>3</v>
      </c>
      <c r="D307" s="40">
        <v>3.2</v>
      </c>
      <c r="E307" s="40">
        <v>3.4</v>
      </c>
      <c r="F307" s="40">
        <v>4.5</v>
      </c>
      <c r="G307" s="5">
        <v>5.3</v>
      </c>
      <c r="H307" s="5">
        <v>4.4000000000000004</v>
      </c>
      <c r="I307" s="5">
        <v>3.8</v>
      </c>
      <c r="J307" s="5">
        <v>4.7</v>
      </c>
      <c r="K307" s="5">
        <v>5.2</v>
      </c>
      <c r="L307" s="5">
        <v>3.9</v>
      </c>
      <c r="M307" s="5">
        <v>4.8</v>
      </c>
      <c r="N307" s="5">
        <v>2.2000000000000002</v>
      </c>
      <c r="O307" s="5">
        <v>4.7</v>
      </c>
      <c r="P307" s="5">
        <v>4.5999999999999996</v>
      </c>
      <c r="Q307" s="5">
        <v>6.2</v>
      </c>
      <c r="R307" s="5">
        <v>5.6</v>
      </c>
      <c r="S307" s="5">
        <v>3.3</v>
      </c>
      <c r="T307" s="5">
        <v>1.6</v>
      </c>
      <c r="U307" s="5">
        <v>1.5</v>
      </c>
      <c r="V307" s="5">
        <v>3.5</v>
      </c>
      <c r="W307" s="5">
        <v>4.7</v>
      </c>
      <c r="X307" s="5">
        <v>5.2</v>
      </c>
      <c r="Y307" s="5">
        <v>5.4</v>
      </c>
      <c r="Z307" s="5">
        <v>5</v>
      </c>
      <c r="AA307" s="5">
        <v>4.9000000000000004</v>
      </c>
    </row>
    <row r="308" spans="1:27" s="5" customFormat="1" x14ac:dyDescent="0.2">
      <c r="B308" s="16" t="s">
        <v>175</v>
      </c>
      <c r="C308" s="16" t="s">
        <v>2</v>
      </c>
      <c r="D308" s="40">
        <v>1412937</v>
      </c>
      <c r="E308" s="40">
        <v>141871</v>
      </c>
      <c r="F308" s="40">
        <v>6950</v>
      </c>
      <c r="G308" s="5">
        <v>330</v>
      </c>
      <c r="H308" s="5">
        <v>382</v>
      </c>
      <c r="I308" s="5">
        <v>332</v>
      </c>
      <c r="J308" s="5">
        <v>255</v>
      </c>
      <c r="K308" s="5">
        <v>211</v>
      </c>
      <c r="L308" s="5">
        <v>435</v>
      </c>
      <c r="M308" s="5">
        <v>410</v>
      </c>
      <c r="N308" s="5">
        <v>197</v>
      </c>
      <c r="O308" s="5">
        <v>343</v>
      </c>
      <c r="P308" s="5">
        <v>430</v>
      </c>
      <c r="Q308" s="5">
        <v>333</v>
      </c>
      <c r="R308" s="5">
        <v>438</v>
      </c>
      <c r="S308" s="5">
        <v>318</v>
      </c>
      <c r="T308" s="5">
        <v>169</v>
      </c>
      <c r="U308" s="5">
        <v>231</v>
      </c>
      <c r="V308" s="5">
        <v>321</v>
      </c>
      <c r="W308" s="5">
        <v>307</v>
      </c>
      <c r="X308" s="5">
        <v>421</v>
      </c>
      <c r="Y308" s="5">
        <v>372</v>
      </c>
      <c r="Z308" s="5">
        <v>381</v>
      </c>
      <c r="AA308" s="5">
        <v>334</v>
      </c>
    </row>
    <row r="309" spans="1:27" s="5" customFormat="1" x14ac:dyDescent="0.2">
      <c r="B309" s="16"/>
      <c r="C309" s="16" t="s">
        <v>3</v>
      </c>
      <c r="D309" s="40">
        <v>90.3</v>
      </c>
      <c r="E309" s="40">
        <v>89.8</v>
      </c>
      <c r="F309" s="40">
        <v>88.4</v>
      </c>
      <c r="G309" s="5">
        <v>87.5</v>
      </c>
      <c r="H309" s="5">
        <v>87.6</v>
      </c>
      <c r="I309" s="5">
        <v>90.7</v>
      </c>
      <c r="J309" s="5">
        <v>85.3</v>
      </c>
      <c r="K309" s="5">
        <v>84.1</v>
      </c>
      <c r="L309" s="5">
        <v>89.7</v>
      </c>
      <c r="M309" s="5">
        <v>88.6</v>
      </c>
      <c r="N309" s="5">
        <v>88.3</v>
      </c>
      <c r="O309" s="5">
        <v>89.3</v>
      </c>
      <c r="P309" s="5">
        <v>90.3</v>
      </c>
      <c r="Q309" s="5">
        <v>90.5</v>
      </c>
      <c r="R309" s="5">
        <v>87.6</v>
      </c>
      <c r="S309" s="5">
        <v>88.1</v>
      </c>
      <c r="T309" s="5">
        <v>90.4</v>
      </c>
      <c r="U309" s="5">
        <v>85.2</v>
      </c>
      <c r="V309" s="5">
        <v>87.5</v>
      </c>
      <c r="W309" s="5">
        <v>85.8</v>
      </c>
      <c r="X309" s="5">
        <v>87.5</v>
      </c>
      <c r="Y309" s="5">
        <v>87.7</v>
      </c>
      <c r="Z309" s="5">
        <v>90.5</v>
      </c>
      <c r="AA309" s="5">
        <v>91</v>
      </c>
    </row>
    <row r="310" spans="1:27" s="5" customFormat="1" x14ac:dyDescent="0.2">
      <c r="B310" s="16" t="s">
        <v>176</v>
      </c>
      <c r="C310" s="16" t="s">
        <v>2</v>
      </c>
      <c r="D310" s="40">
        <v>500659</v>
      </c>
      <c r="E310" s="40">
        <v>52953</v>
      </c>
      <c r="F310" s="40">
        <v>2526</v>
      </c>
      <c r="G310" s="5">
        <v>125</v>
      </c>
      <c r="H310" s="5">
        <v>132</v>
      </c>
      <c r="I310" s="5">
        <v>119</v>
      </c>
      <c r="J310" s="5">
        <v>97</v>
      </c>
      <c r="K310" s="5">
        <v>85</v>
      </c>
      <c r="L310" s="5">
        <v>132</v>
      </c>
      <c r="M310" s="5">
        <v>152</v>
      </c>
      <c r="N310" s="5">
        <v>87</v>
      </c>
      <c r="O310" s="5">
        <v>135</v>
      </c>
      <c r="P310" s="5">
        <v>136</v>
      </c>
      <c r="Q310" s="5">
        <v>116</v>
      </c>
      <c r="R310" s="5">
        <v>158</v>
      </c>
      <c r="S310" s="5">
        <v>121</v>
      </c>
      <c r="T310" s="5">
        <v>80</v>
      </c>
      <c r="U310" s="5">
        <v>105</v>
      </c>
      <c r="V310" s="5">
        <v>143</v>
      </c>
      <c r="W310" s="5">
        <v>110</v>
      </c>
      <c r="X310" s="5">
        <v>133</v>
      </c>
      <c r="Y310" s="5">
        <v>121</v>
      </c>
      <c r="Z310" s="5">
        <v>135</v>
      </c>
      <c r="AA310" s="5">
        <v>104</v>
      </c>
    </row>
    <row r="311" spans="1:27" s="5" customFormat="1" x14ac:dyDescent="0.2">
      <c r="B311" s="16"/>
      <c r="C311" s="16" t="s">
        <v>3</v>
      </c>
      <c r="D311" s="40">
        <v>32</v>
      </c>
      <c r="E311" s="40">
        <v>33.5</v>
      </c>
      <c r="F311" s="40">
        <v>32.1</v>
      </c>
      <c r="G311" s="5">
        <v>33.200000000000003</v>
      </c>
      <c r="H311" s="5">
        <v>30.3</v>
      </c>
      <c r="I311" s="5">
        <v>32.5</v>
      </c>
      <c r="J311" s="5">
        <v>32.4</v>
      </c>
      <c r="K311" s="5">
        <v>33.9</v>
      </c>
      <c r="L311" s="5">
        <v>27.2</v>
      </c>
      <c r="M311" s="5">
        <v>32.799999999999997</v>
      </c>
      <c r="N311" s="5">
        <v>39</v>
      </c>
      <c r="O311" s="5">
        <v>35.200000000000003</v>
      </c>
      <c r="P311" s="5">
        <v>28.6</v>
      </c>
      <c r="Q311" s="5">
        <v>31.5</v>
      </c>
      <c r="R311" s="5">
        <v>31.6</v>
      </c>
      <c r="S311" s="5">
        <v>33.5</v>
      </c>
      <c r="T311" s="5">
        <v>42.8</v>
      </c>
      <c r="U311" s="5">
        <v>38.700000000000003</v>
      </c>
      <c r="V311" s="5">
        <v>39</v>
      </c>
      <c r="W311" s="5">
        <v>30.7</v>
      </c>
      <c r="X311" s="5">
        <v>27.7</v>
      </c>
      <c r="Y311" s="5">
        <v>28.5</v>
      </c>
      <c r="Z311" s="5">
        <v>32.1</v>
      </c>
      <c r="AA311" s="5">
        <v>28.3</v>
      </c>
    </row>
    <row r="312" spans="1:27" s="5" customFormat="1" x14ac:dyDescent="0.2">
      <c r="B312" s="16" t="s">
        <v>177</v>
      </c>
      <c r="C312" s="16" t="s">
        <v>2</v>
      </c>
      <c r="D312" s="40">
        <v>327795</v>
      </c>
      <c r="E312" s="40">
        <v>31552</v>
      </c>
      <c r="F312" s="40">
        <v>1408</v>
      </c>
      <c r="G312" s="5">
        <v>67</v>
      </c>
      <c r="H312" s="5">
        <v>86</v>
      </c>
      <c r="I312" s="5">
        <v>72</v>
      </c>
      <c r="J312" s="5">
        <v>60</v>
      </c>
      <c r="K312" s="5">
        <v>66</v>
      </c>
      <c r="L312" s="5">
        <v>55</v>
      </c>
      <c r="M312" s="5">
        <v>66</v>
      </c>
      <c r="N312" s="5">
        <v>56</v>
      </c>
      <c r="O312" s="5">
        <v>62</v>
      </c>
      <c r="P312" s="5">
        <v>84</v>
      </c>
      <c r="Q312" s="5">
        <v>52</v>
      </c>
      <c r="R312" s="5">
        <v>90</v>
      </c>
      <c r="S312" s="5">
        <v>87</v>
      </c>
      <c r="T312" s="5">
        <v>58</v>
      </c>
      <c r="U312" s="5">
        <v>76</v>
      </c>
      <c r="V312" s="5">
        <v>73</v>
      </c>
      <c r="W312" s="5">
        <v>74</v>
      </c>
      <c r="X312" s="5">
        <v>58</v>
      </c>
      <c r="Y312" s="5">
        <v>52</v>
      </c>
      <c r="Z312" s="5">
        <v>65</v>
      </c>
      <c r="AA312" s="5">
        <v>49</v>
      </c>
    </row>
    <row r="313" spans="1:27" s="5" customFormat="1" x14ac:dyDescent="0.2">
      <c r="B313" s="16"/>
      <c r="C313" s="16" t="s">
        <v>3</v>
      </c>
      <c r="D313" s="40">
        <v>20.9</v>
      </c>
      <c r="E313" s="40">
        <v>20</v>
      </c>
      <c r="F313" s="40">
        <v>17.899999999999999</v>
      </c>
      <c r="G313" s="5">
        <v>17.8</v>
      </c>
      <c r="H313" s="5">
        <v>19.7</v>
      </c>
      <c r="I313" s="5">
        <v>19.7</v>
      </c>
      <c r="J313" s="5">
        <v>20.100000000000001</v>
      </c>
      <c r="K313" s="5">
        <v>26.3</v>
      </c>
      <c r="L313" s="5">
        <v>11.3</v>
      </c>
      <c r="M313" s="5">
        <v>14.3</v>
      </c>
      <c r="N313" s="5">
        <v>25.1</v>
      </c>
      <c r="O313" s="5">
        <v>16.100000000000001</v>
      </c>
      <c r="P313" s="5">
        <v>17.600000000000001</v>
      </c>
      <c r="Q313" s="5">
        <v>14.1</v>
      </c>
      <c r="R313" s="5">
        <v>18</v>
      </c>
      <c r="S313" s="5">
        <v>24.1</v>
      </c>
      <c r="T313" s="5">
        <v>31</v>
      </c>
      <c r="U313" s="5">
        <v>28</v>
      </c>
      <c r="V313" s="5">
        <v>19.899999999999999</v>
      </c>
      <c r="W313" s="5">
        <v>20.7</v>
      </c>
      <c r="X313" s="5">
        <v>12.1</v>
      </c>
      <c r="Y313" s="5">
        <v>12.3</v>
      </c>
      <c r="Z313" s="5">
        <v>15.4</v>
      </c>
      <c r="AA313" s="5">
        <v>13.4</v>
      </c>
    </row>
    <row r="314" spans="1:27" s="5" customFormat="1" x14ac:dyDescent="0.2">
      <c r="B314" s="16" t="s">
        <v>178</v>
      </c>
      <c r="C314" s="16" t="s">
        <v>2</v>
      </c>
      <c r="D314" s="40">
        <v>584483</v>
      </c>
      <c r="E314" s="40">
        <v>57366</v>
      </c>
      <c r="F314" s="40">
        <v>3016</v>
      </c>
      <c r="G314" s="5">
        <v>138</v>
      </c>
      <c r="H314" s="5">
        <v>164</v>
      </c>
      <c r="I314" s="5">
        <v>141</v>
      </c>
      <c r="J314" s="5">
        <v>98</v>
      </c>
      <c r="K314" s="5">
        <v>60</v>
      </c>
      <c r="L314" s="5">
        <v>248</v>
      </c>
      <c r="M314" s="5">
        <v>192</v>
      </c>
      <c r="N314" s="5">
        <v>54</v>
      </c>
      <c r="O314" s="5">
        <v>146</v>
      </c>
      <c r="P314" s="5">
        <v>210</v>
      </c>
      <c r="Q314" s="5">
        <v>165</v>
      </c>
      <c r="R314" s="5">
        <v>190</v>
      </c>
      <c r="S314" s="5">
        <v>110</v>
      </c>
      <c r="T314" s="5">
        <v>31</v>
      </c>
      <c r="U314" s="5">
        <v>50</v>
      </c>
      <c r="V314" s="5">
        <v>105</v>
      </c>
      <c r="W314" s="5">
        <v>123</v>
      </c>
      <c r="X314" s="5">
        <v>230</v>
      </c>
      <c r="Y314" s="5">
        <v>199</v>
      </c>
      <c r="Z314" s="5">
        <v>181</v>
      </c>
      <c r="AA314" s="5">
        <v>181</v>
      </c>
    </row>
    <row r="315" spans="1:27" s="5" customFormat="1" x14ac:dyDescent="0.2">
      <c r="B315" s="16"/>
      <c r="C315" s="16" t="s">
        <v>3</v>
      </c>
      <c r="D315" s="40">
        <v>37.4</v>
      </c>
      <c r="E315" s="40">
        <v>36.299999999999997</v>
      </c>
      <c r="F315" s="40">
        <v>38.299999999999997</v>
      </c>
      <c r="G315" s="5">
        <v>36.6</v>
      </c>
      <c r="H315" s="5">
        <v>37.6</v>
      </c>
      <c r="I315" s="5">
        <v>38.5</v>
      </c>
      <c r="J315" s="5">
        <v>32.799999999999997</v>
      </c>
      <c r="K315" s="5">
        <v>23.9</v>
      </c>
      <c r="L315" s="5">
        <v>51.1</v>
      </c>
      <c r="M315" s="5">
        <v>41.5</v>
      </c>
      <c r="N315" s="5">
        <v>24.2</v>
      </c>
      <c r="O315" s="5">
        <v>38</v>
      </c>
      <c r="P315" s="5">
        <v>44.1</v>
      </c>
      <c r="Q315" s="5">
        <v>44.8</v>
      </c>
      <c r="R315" s="5">
        <v>38</v>
      </c>
      <c r="S315" s="5">
        <v>30.5</v>
      </c>
      <c r="T315" s="5">
        <v>16.600000000000001</v>
      </c>
      <c r="U315" s="5">
        <v>18.5</v>
      </c>
      <c r="V315" s="5">
        <v>28.6</v>
      </c>
      <c r="W315" s="5">
        <v>34.4</v>
      </c>
      <c r="X315" s="5">
        <v>47.8</v>
      </c>
      <c r="Y315" s="5">
        <v>46.9</v>
      </c>
      <c r="Z315" s="5">
        <v>43</v>
      </c>
      <c r="AA315" s="5">
        <v>49.3</v>
      </c>
    </row>
    <row r="316" spans="1:27" s="5" customFormat="1" x14ac:dyDescent="0.2">
      <c r="A316" s="5" t="s">
        <v>275</v>
      </c>
      <c r="B316" s="190" t="s">
        <v>263</v>
      </c>
      <c r="C316" s="15" t="s">
        <v>2</v>
      </c>
      <c r="D316" s="39">
        <v>22063368</v>
      </c>
      <c r="E316" s="39">
        <v>2224059</v>
      </c>
      <c r="F316" s="39">
        <v>100734</v>
      </c>
      <c r="G316" s="6">
        <v>5248</v>
      </c>
      <c r="H316" s="6">
        <v>4620</v>
      </c>
      <c r="I316" s="6">
        <v>4577</v>
      </c>
      <c r="J316" s="6">
        <v>4595</v>
      </c>
      <c r="K316" s="6">
        <v>4590</v>
      </c>
      <c r="L316" s="6">
        <v>4666</v>
      </c>
      <c r="M316" s="6">
        <v>4957</v>
      </c>
      <c r="N316" s="6">
        <v>4378</v>
      </c>
      <c r="O316" s="6">
        <v>5112</v>
      </c>
      <c r="P316" s="6">
        <v>4982</v>
      </c>
      <c r="Q316" s="6">
        <v>4725</v>
      </c>
      <c r="R316" s="6">
        <v>5511</v>
      </c>
      <c r="S316" s="6">
        <v>4798</v>
      </c>
      <c r="T316" s="6">
        <v>4953</v>
      </c>
      <c r="U316" s="6">
        <v>4878</v>
      </c>
      <c r="V316" s="6">
        <v>4920</v>
      </c>
      <c r="W316" s="6">
        <v>4583</v>
      </c>
      <c r="X316" s="6">
        <v>4350</v>
      </c>
      <c r="Y316" s="6">
        <v>5024</v>
      </c>
      <c r="Z316" s="6">
        <v>4965</v>
      </c>
      <c r="AA316" s="6">
        <v>4302</v>
      </c>
    </row>
    <row r="317" spans="1:27" s="5" customFormat="1" x14ac:dyDescent="0.2">
      <c r="B317" s="191"/>
      <c r="C317" s="15" t="s">
        <v>3</v>
      </c>
      <c r="D317" s="39">
        <v>100</v>
      </c>
      <c r="E317" s="40">
        <v>100</v>
      </c>
      <c r="F317" s="39">
        <v>100</v>
      </c>
      <c r="G317" s="7">
        <v>100</v>
      </c>
      <c r="H317" s="7">
        <v>100</v>
      </c>
      <c r="I317" s="7">
        <v>100</v>
      </c>
      <c r="J317" s="7">
        <v>100</v>
      </c>
      <c r="K317" s="7">
        <v>100</v>
      </c>
      <c r="L317" s="7">
        <v>100</v>
      </c>
      <c r="M317" s="7">
        <v>100</v>
      </c>
      <c r="N317" s="7">
        <v>100</v>
      </c>
      <c r="O317" s="7">
        <v>100</v>
      </c>
      <c r="P317" s="7">
        <v>100</v>
      </c>
      <c r="Q317" s="7">
        <v>100</v>
      </c>
      <c r="R317" s="7">
        <v>100</v>
      </c>
      <c r="S317" s="7">
        <v>100</v>
      </c>
      <c r="T317" s="7">
        <v>100</v>
      </c>
      <c r="U317" s="7">
        <v>100</v>
      </c>
      <c r="V317" s="7">
        <v>100</v>
      </c>
      <c r="W317" s="7">
        <v>100</v>
      </c>
      <c r="X317" s="7">
        <v>100</v>
      </c>
      <c r="Y317" s="7">
        <v>100</v>
      </c>
      <c r="Z317" s="7">
        <v>100</v>
      </c>
      <c r="AA317" s="7">
        <v>100</v>
      </c>
    </row>
    <row r="318" spans="1:27" s="5" customFormat="1" x14ac:dyDescent="0.2">
      <c r="B318" s="190" t="s">
        <v>264</v>
      </c>
      <c r="C318" s="15" t="s">
        <v>2</v>
      </c>
      <c r="D318" s="39">
        <v>13975024</v>
      </c>
      <c r="E318" s="39">
        <v>1425563</v>
      </c>
      <c r="F318" s="39">
        <v>64807</v>
      </c>
      <c r="G318" s="6">
        <v>2998</v>
      </c>
      <c r="H318" s="6">
        <v>3070</v>
      </c>
      <c r="I318" s="6">
        <v>3053</v>
      </c>
      <c r="J318" s="6">
        <v>3487</v>
      </c>
      <c r="K318" s="6">
        <v>3490</v>
      </c>
      <c r="L318" s="6">
        <v>2460</v>
      </c>
      <c r="M318" s="6">
        <v>3219</v>
      </c>
      <c r="N318" s="6">
        <v>3290</v>
      </c>
      <c r="O318" s="6">
        <v>3217</v>
      </c>
      <c r="P318" s="6">
        <v>2639</v>
      </c>
      <c r="Q318" s="6">
        <v>2825</v>
      </c>
      <c r="R318" s="6">
        <v>3517</v>
      </c>
      <c r="S318" s="6">
        <v>3325</v>
      </c>
      <c r="T318" s="6">
        <v>3792</v>
      </c>
      <c r="U318" s="6">
        <v>3707</v>
      </c>
      <c r="V318" s="6">
        <v>3237</v>
      </c>
      <c r="W318" s="6">
        <v>3065</v>
      </c>
      <c r="X318" s="6">
        <v>2018</v>
      </c>
      <c r="Y318" s="6">
        <v>2891</v>
      </c>
      <c r="Z318" s="6">
        <v>2980</v>
      </c>
      <c r="AA318" s="6">
        <v>2527</v>
      </c>
    </row>
    <row r="319" spans="1:27" s="5" customFormat="1" x14ac:dyDescent="0.2">
      <c r="B319" s="191"/>
      <c r="C319" s="15" t="s">
        <v>3</v>
      </c>
      <c r="D319" s="39">
        <v>63.3</v>
      </c>
      <c r="E319" s="39">
        <v>64.099999999999994</v>
      </c>
      <c r="F319" s="39">
        <v>64.3</v>
      </c>
      <c r="G319" s="7">
        <v>57.1</v>
      </c>
      <c r="H319" s="7">
        <v>66.5</v>
      </c>
      <c r="I319" s="7">
        <v>66.7</v>
      </c>
      <c r="J319" s="7">
        <v>75.900000000000006</v>
      </c>
      <c r="K319" s="7">
        <v>76</v>
      </c>
      <c r="L319" s="7">
        <v>52.7</v>
      </c>
      <c r="M319" s="7">
        <v>64.900000000000006</v>
      </c>
      <c r="N319" s="7">
        <v>75.099999999999994</v>
      </c>
      <c r="O319" s="7">
        <v>62.9</v>
      </c>
      <c r="P319" s="7">
        <v>53</v>
      </c>
      <c r="Q319" s="7">
        <v>59.8</v>
      </c>
      <c r="R319" s="7">
        <v>63.8</v>
      </c>
      <c r="S319" s="7">
        <v>69.3</v>
      </c>
      <c r="T319" s="7">
        <v>76.599999999999994</v>
      </c>
      <c r="U319" s="7">
        <v>76</v>
      </c>
      <c r="V319" s="7">
        <v>65.8</v>
      </c>
      <c r="W319" s="7">
        <v>66.900000000000006</v>
      </c>
      <c r="X319" s="7">
        <v>46.4</v>
      </c>
      <c r="Y319" s="7">
        <v>57.5</v>
      </c>
      <c r="Z319" s="7">
        <v>60</v>
      </c>
      <c r="AA319" s="7">
        <v>58.7</v>
      </c>
    </row>
    <row r="320" spans="1:27" s="5" customFormat="1" x14ac:dyDescent="0.2">
      <c r="B320" s="190" t="s">
        <v>265</v>
      </c>
      <c r="C320" s="15" t="s">
        <v>2</v>
      </c>
      <c r="D320" s="39">
        <v>6745584</v>
      </c>
      <c r="E320" s="39">
        <v>681492</v>
      </c>
      <c r="F320" s="39">
        <v>30778</v>
      </c>
      <c r="G320" s="6">
        <v>1396</v>
      </c>
      <c r="H320" s="6">
        <v>1292</v>
      </c>
      <c r="I320" s="6">
        <v>1522</v>
      </c>
      <c r="J320" s="6">
        <v>1592</v>
      </c>
      <c r="K320" s="6">
        <v>1793</v>
      </c>
      <c r="L320" s="6">
        <v>1284</v>
      </c>
      <c r="M320" s="6">
        <v>1360</v>
      </c>
      <c r="N320" s="6">
        <v>1809</v>
      </c>
      <c r="O320" s="6">
        <v>1412</v>
      </c>
      <c r="P320" s="6">
        <v>1142</v>
      </c>
      <c r="Q320" s="6">
        <v>1458</v>
      </c>
      <c r="R320" s="6">
        <v>1504</v>
      </c>
      <c r="S320" s="6">
        <v>1545</v>
      </c>
      <c r="T320" s="6">
        <v>1989</v>
      </c>
      <c r="U320" s="6">
        <v>1755</v>
      </c>
      <c r="V320" s="6">
        <v>1591</v>
      </c>
      <c r="W320" s="6">
        <v>1384</v>
      </c>
      <c r="X320" s="6">
        <v>856</v>
      </c>
      <c r="Y320" s="6">
        <v>1417</v>
      </c>
      <c r="Z320" s="6">
        <v>1343</v>
      </c>
      <c r="AA320" s="6">
        <v>1334</v>
      </c>
    </row>
    <row r="321" spans="2:27" s="5" customFormat="1" x14ac:dyDescent="0.2">
      <c r="B321" s="191"/>
      <c r="C321" s="15" t="s">
        <v>3</v>
      </c>
      <c r="D321" s="39">
        <v>30.6</v>
      </c>
      <c r="E321" s="39">
        <v>30.6</v>
      </c>
      <c r="F321" s="39">
        <v>30.6</v>
      </c>
      <c r="G321" s="7">
        <v>26.6</v>
      </c>
      <c r="H321" s="7">
        <v>28</v>
      </c>
      <c r="I321" s="7">
        <v>33.299999999999997</v>
      </c>
      <c r="J321" s="7">
        <v>34.6</v>
      </c>
      <c r="K321" s="7">
        <v>39.1</v>
      </c>
      <c r="L321" s="7">
        <v>27.5</v>
      </c>
      <c r="M321" s="7">
        <v>27.4</v>
      </c>
      <c r="N321" s="7">
        <v>41.3</v>
      </c>
      <c r="O321" s="7">
        <v>27.6</v>
      </c>
      <c r="P321" s="7">
        <v>22.9</v>
      </c>
      <c r="Q321" s="7">
        <v>30.9</v>
      </c>
      <c r="R321" s="7">
        <v>27.3</v>
      </c>
      <c r="S321" s="7">
        <v>32.200000000000003</v>
      </c>
      <c r="T321" s="7">
        <v>40.200000000000003</v>
      </c>
      <c r="U321" s="7">
        <v>36</v>
      </c>
      <c r="V321" s="7">
        <v>32.299999999999997</v>
      </c>
      <c r="W321" s="7">
        <v>30.2</v>
      </c>
      <c r="X321" s="7">
        <v>19.7</v>
      </c>
      <c r="Y321" s="7">
        <v>28.2</v>
      </c>
      <c r="Z321" s="7">
        <v>27</v>
      </c>
      <c r="AA321" s="7">
        <v>31</v>
      </c>
    </row>
    <row r="322" spans="2:27" s="5" customFormat="1" x14ac:dyDescent="0.2">
      <c r="B322" s="190" t="s">
        <v>266</v>
      </c>
      <c r="C322" s="15" t="s">
        <v>2</v>
      </c>
      <c r="D322" s="39">
        <v>7229440</v>
      </c>
      <c r="E322" s="39">
        <v>744071</v>
      </c>
      <c r="F322" s="39">
        <v>34029</v>
      </c>
      <c r="G322" s="6">
        <v>1602</v>
      </c>
      <c r="H322" s="6">
        <v>1778</v>
      </c>
      <c r="I322" s="6">
        <v>1531</v>
      </c>
      <c r="J322" s="6">
        <v>1895</v>
      </c>
      <c r="K322" s="6">
        <v>1697</v>
      </c>
      <c r="L322" s="6">
        <v>1176</v>
      </c>
      <c r="M322" s="6">
        <v>1859</v>
      </c>
      <c r="N322" s="6">
        <v>1481</v>
      </c>
      <c r="O322" s="6">
        <v>1805</v>
      </c>
      <c r="P322" s="6">
        <v>1497</v>
      </c>
      <c r="Q322" s="6">
        <v>1367</v>
      </c>
      <c r="R322" s="6">
        <v>2013</v>
      </c>
      <c r="S322" s="6">
        <v>1780</v>
      </c>
      <c r="T322" s="6">
        <v>1803</v>
      </c>
      <c r="U322" s="6">
        <v>1952</v>
      </c>
      <c r="V322" s="6">
        <v>1646</v>
      </c>
      <c r="W322" s="6">
        <v>1681</v>
      </c>
      <c r="X322" s="6">
        <v>1162</v>
      </c>
      <c r="Y322" s="6">
        <v>1474</v>
      </c>
      <c r="Z322" s="6">
        <v>1637</v>
      </c>
      <c r="AA322" s="6">
        <v>1193</v>
      </c>
    </row>
    <row r="323" spans="2:27" s="5" customFormat="1" x14ac:dyDescent="0.2">
      <c r="B323" s="191"/>
      <c r="C323" s="15" t="s">
        <v>3</v>
      </c>
      <c r="D323" s="39">
        <v>32.799999999999997</v>
      </c>
      <c r="E323" s="39">
        <v>33.5</v>
      </c>
      <c r="F323" s="39">
        <v>33.799999999999997</v>
      </c>
      <c r="G323" s="7">
        <v>30.5</v>
      </c>
      <c r="H323" s="7">
        <v>38.5</v>
      </c>
      <c r="I323" s="7">
        <v>33.4</v>
      </c>
      <c r="J323" s="7">
        <v>41.2</v>
      </c>
      <c r="K323" s="7">
        <v>37</v>
      </c>
      <c r="L323" s="7">
        <v>25.2</v>
      </c>
      <c r="M323" s="7">
        <v>37.5</v>
      </c>
      <c r="N323" s="7">
        <v>33.799999999999997</v>
      </c>
      <c r="O323" s="7">
        <v>35.299999999999997</v>
      </c>
      <c r="P323" s="7">
        <v>30</v>
      </c>
      <c r="Q323" s="7">
        <v>28.9</v>
      </c>
      <c r="R323" s="7">
        <v>36.5</v>
      </c>
      <c r="S323" s="7">
        <v>37.1</v>
      </c>
      <c r="T323" s="7">
        <v>36.4</v>
      </c>
      <c r="U323" s="7">
        <v>40</v>
      </c>
      <c r="V323" s="7">
        <v>33.5</v>
      </c>
      <c r="W323" s="7">
        <v>36.700000000000003</v>
      </c>
      <c r="X323" s="7">
        <v>26.7</v>
      </c>
      <c r="Y323" s="7">
        <v>29.3</v>
      </c>
      <c r="Z323" s="7">
        <v>33</v>
      </c>
      <c r="AA323" s="7">
        <v>27.7</v>
      </c>
    </row>
    <row r="324" spans="2:27" s="5" customFormat="1" x14ac:dyDescent="0.2">
      <c r="B324" s="190" t="s">
        <v>267</v>
      </c>
      <c r="C324" s="15" t="s">
        <v>2</v>
      </c>
      <c r="D324" s="39">
        <v>173760</v>
      </c>
      <c r="E324" s="39">
        <v>9637</v>
      </c>
      <c r="F324" s="39">
        <v>445</v>
      </c>
      <c r="G324" s="6">
        <v>20</v>
      </c>
      <c r="H324" s="6">
        <v>12</v>
      </c>
      <c r="I324" s="6">
        <v>25</v>
      </c>
      <c r="J324" s="6">
        <v>9</v>
      </c>
      <c r="K324" s="6">
        <v>30</v>
      </c>
      <c r="L324" s="6">
        <v>28</v>
      </c>
      <c r="M324" s="6">
        <v>9</v>
      </c>
      <c r="N324" s="6">
        <v>5</v>
      </c>
      <c r="O324" s="6">
        <v>26</v>
      </c>
      <c r="P324" s="6">
        <v>37</v>
      </c>
      <c r="Q324" s="6">
        <v>7</v>
      </c>
      <c r="R324" s="6">
        <v>21</v>
      </c>
      <c r="S324" s="6">
        <v>17</v>
      </c>
      <c r="T324" s="6">
        <v>23</v>
      </c>
      <c r="U324" s="6">
        <v>32</v>
      </c>
      <c r="V324" s="6">
        <v>32</v>
      </c>
      <c r="W324" s="6">
        <v>26</v>
      </c>
      <c r="X324" s="6">
        <v>40</v>
      </c>
      <c r="Y324" s="6">
        <v>22</v>
      </c>
      <c r="Z324" s="6">
        <v>11</v>
      </c>
      <c r="AA324" s="6">
        <v>13</v>
      </c>
    </row>
    <row r="325" spans="2:27" s="5" customFormat="1" x14ac:dyDescent="0.2">
      <c r="B325" s="191"/>
      <c r="C325" s="15" t="s">
        <v>3</v>
      </c>
      <c r="D325" s="39">
        <v>0.8</v>
      </c>
      <c r="E325" s="39">
        <v>0.4</v>
      </c>
      <c r="F325" s="39">
        <v>0.4</v>
      </c>
      <c r="G325" s="7">
        <v>0.4</v>
      </c>
      <c r="H325" s="7">
        <v>0.3</v>
      </c>
      <c r="I325" s="7">
        <v>0.5</v>
      </c>
      <c r="J325" s="7">
        <v>0.2</v>
      </c>
      <c r="K325" s="7">
        <v>0.7</v>
      </c>
      <c r="L325" s="7">
        <v>0.6</v>
      </c>
      <c r="M325" s="7">
        <v>0.2</v>
      </c>
      <c r="N325" s="7">
        <v>0.1</v>
      </c>
      <c r="O325" s="7">
        <v>0.5</v>
      </c>
      <c r="P325" s="7">
        <v>0.7</v>
      </c>
      <c r="Q325" s="7">
        <v>0.1</v>
      </c>
      <c r="R325" s="7">
        <v>0.4</v>
      </c>
      <c r="S325" s="7">
        <v>0.4</v>
      </c>
      <c r="T325" s="7">
        <v>0.5</v>
      </c>
      <c r="U325" s="7">
        <v>0.7</v>
      </c>
      <c r="V325" s="7">
        <v>0.7</v>
      </c>
      <c r="W325" s="7">
        <v>0.6</v>
      </c>
      <c r="X325" s="7">
        <v>0.9</v>
      </c>
      <c r="Y325" s="7">
        <v>0.4</v>
      </c>
      <c r="Z325" s="7">
        <v>0.2</v>
      </c>
      <c r="AA325" s="7">
        <v>0.3</v>
      </c>
    </row>
    <row r="326" spans="2:27" s="5" customFormat="1" x14ac:dyDescent="0.2">
      <c r="B326" s="190" t="s">
        <v>268</v>
      </c>
      <c r="C326" s="15" t="s">
        <v>2</v>
      </c>
      <c r="D326" s="39">
        <v>3903550</v>
      </c>
      <c r="E326" s="39">
        <v>402653</v>
      </c>
      <c r="F326" s="39">
        <v>21032</v>
      </c>
      <c r="G326" s="6">
        <v>739</v>
      </c>
      <c r="H326" s="6">
        <v>832</v>
      </c>
      <c r="I326" s="6">
        <v>774</v>
      </c>
      <c r="J326" s="6">
        <v>581</v>
      </c>
      <c r="K326" s="6">
        <v>618</v>
      </c>
      <c r="L326" s="6">
        <v>1300</v>
      </c>
      <c r="M326" s="6">
        <v>857</v>
      </c>
      <c r="N326" s="6">
        <v>663</v>
      </c>
      <c r="O326" s="6">
        <v>1134</v>
      </c>
      <c r="P326" s="6">
        <v>1009</v>
      </c>
      <c r="Q326" s="6">
        <v>1484</v>
      </c>
      <c r="R326" s="6">
        <v>1153</v>
      </c>
      <c r="S326" s="6">
        <v>688</v>
      </c>
      <c r="T326" s="6">
        <v>555</v>
      </c>
      <c r="U326" s="6">
        <v>650</v>
      </c>
      <c r="V326" s="6">
        <v>1081</v>
      </c>
      <c r="W326" s="6">
        <v>950</v>
      </c>
      <c r="X326" s="6">
        <v>1923</v>
      </c>
      <c r="Y326" s="6">
        <v>1524</v>
      </c>
      <c r="Z326" s="6">
        <v>1195</v>
      </c>
      <c r="AA326" s="6">
        <v>1322</v>
      </c>
    </row>
    <row r="327" spans="2:27" s="5" customFormat="1" x14ac:dyDescent="0.2">
      <c r="B327" s="191"/>
      <c r="C327" s="15" t="s">
        <v>3</v>
      </c>
      <c r="D327" s="39">
        <v>17.7</v>
      </c>
      <c r="E327" s="39">
        <v>18.100000000000001</v>
      </c>
      <c r="F327" s="39">
        <v>20.9</v>
      </c>
      <c r="G327" s="7">
        <v>14.1</v>
      </c>
      <c r="H327" s="7">
        <v>18</v>
      </c>
      <c r="I327" s="7">
        <v>16.899999999999999</v>
      </c>
      <c r="J327" s="7">
        <v>12.6</v>
      </c>
      <c r="K327" s="7">
        <v>13.5</v>
      </c>
      <c r="L327" s="7">
        <v>27.9</v>
      </c>
      <c r="M327" s="7">
        <v>17.3</v>
      </c>
      <c r="N327" s="7">
        <v>15.1</v>
      </c>
      <c r="O327" s="7">
        <v>22.2</v>
      </c>
      <c r="P327" s="7">
        <v>20.3</v>
      </c>
      <c r="Q327" s="7">
        <v>31.4</v>
      </c>
      <c r="R327" s="7">
        <v>20.9</v>
      </c>
      <c r="S327" s="7">
        <v>14.3</v>
      </c>
      <c r="T327" s="7">
        <v>11.2</v>
      </c>
      <c r="U327" s="7">
        <v>13.3</v>
      </c>
      <c r="V327" s="7">
        <v>22</v>
      </c>
      <c r="W327" s="7">
        <v>20.7</v>
      </c>
      <c r="X327" s="7">
        <v>44.2</v>
      </c>
      <c r="Y327" s="7">
        <v>30.3</v>
      </c>
      <c r="Z327" s="7">
        <v>24.1</v>
      </c>
      <c r="AA327" s="7">
        <v>30.7</v>
      </c>
    </row>
    <row r="328" spans="2:27" s="5" customFormat="1" x14ac:dyDescent="0.2">
      <c r="B328" s="190" t="s">
        <v>269</v>
      </c>
      <c r="C328" s="15" t="s">
        <v>2</v>
      </c>
      <c r="D328" s="39">
        <v>2079778</v>
      </c>
      <c r="E328" s="39">
        <v>272875</v>
      </c>
      <c r="F328" s="39">
        <v>17831</v>
      </c>
      <c r="G328" s="6">
        <v>467</v>
      </c>
      <c r="H328" s="6">
        <v>738</v>
      </c>
      <c r="I328" s="6">
        <v>682</v>
      </c>
      <c r="J328" s="6">
        <v>511</v>
      </c>
      <c r="K328" s="6">
        <v>555</v>
      </c>
      <c r="L328" s="6">
        <v>786</v>
      </c>
      <c r="M328" s="6">
        <v>789</v>
      </c>
      <c r="N328" s="6">
        <v>594</v>
      </c>
      <c r="O328" s="6">
        <v>1057</v>
      </c>
      <c r="P328" s="6">
        <v>697</v>
      </c>
      <c r="Q328" s="6">
        <v>1339</v>
      </c>
      <c r="R328" s="6">
        <v>919</v>
      </c>
      <c r="S328" s="6">
        <v>535</v>
      </c>
      <c r="T328" s="6">
        <v>496</v>
      </c>
      <c r="U328" s="6">
        <v>486</v>
      </c>
      <c r="V328" s="6">
        <v>1006</v>
      </c>
      <c r="W328" s="6">
        <v>820</v>
      </c>
      <c r="X328" s="6">
        <v>1792</v>
      </c>
      <c r="Y328" s="6">
        <v>1306</v>
      </c>
      <c r="Z328" s="6">
        <v>1051</v>
      </c>
      <c r="AA328" s="6">
        <v>1205</v>
      </c>
    </row>
    <row r="329" spans="2:27" s="5" customFormat="1" x14ac:dyDescent="0.2">
      <c r="B329" s="191"/>
      <c r="C329" s="15" t="s">
        <v>3</v>
      </c>
      <c r="D329" s="39">
        <v>9.4</v>
      </c>
      <c r="E329" s="39">
        <v>12.3</v>
      </c>
      <c r="F329" s="39">
        <v>17.7</v>
      </c>
      <c r="G329" s="7">
        <v>8.9</v>
      </c>
      <c r="H329" s="7">
        <v>16</v>
      </c>
      <c r="I329" s="7">
        <v>14.9</v>
      </c>
      <c r="J329" s="7">
        <v>11.1</v>
      </c>
      <c r="K329" s="7">
        <v>12.1</v>
      </c>
      <c r="L329" s="7">
        <v>16.8</v>
      </c>
      <c r="M329" s="7">
        <v>15.9</v>
      </c>
      <c r="N329" s="7">
        <v>13.6</v>
      </c>
      <c r="O329" s="7">
        <v>20.7</v>
      </c>
      <c r="P329" s="7">
        <v>14</v>
      </c>
      <c r="Q329" s="7">
        <v>28.3</v>
      </c>
      <c r="R329" s="7">
        <v>16.7</v>
      </c>
      <c r="S329" s="7">
        <v>11.2</v>
      </c>
      <c r="T329" s="7">
        <v>10</v>
      </c>
      <c r="U329" s="7">
        <v>10</v>
      </c>
      <c r="V329" s="7">
        <v>20.399999999999999</v>
      </c>
      <c r="W329" s="7">
        <v>17.899999999999999</v>
      </c>
      <c r="X329" s="7">
        <v>41.2</v>
      </c>
      <c r="Y329" s="7">
        <v>26</v>
      </c>
      <c r="Z329" s="7">
        <v>21.2</v>
      </c>
      <c r="AA329" s="7">
        <v>28</v>
      </c>
    </row>
    <row r="330" spans="2:27" s="5" customFormat="1" x14ac:dyDescent="0.2">
      <c r="B330" s="190" t="s">
        <v>270</v>
      </c>
      <c r="C330" s="15" t="s">
        <v>2</v>
      </c>
      <c r="D330" s="39">
        <v>1823772</v>
      </c>
      <c r="E330" s="39">
        <v>129778</v>
      </c>
      <c r="F330" s="39">
        <v>3201</v>
      </c>
      <c r="G330" s="6">
        <v>272</v>
      </c>
      <c r="H330" s="6">
        <v>94</v>
      </c>
      <c r="I330" s="6">
        <v>92</v>
      </c>
      <c r="J330" s="6">
        <v>70</v>
      </c>
      <c r="K330" s="6">
        <v>63</v>
      </c>
      <c r="L330" s="6">
        <v>514</v>
      </c>
      <c r="M330" s="6">
        <v>68</v>
      </c>
      <c r="N330" s="6">
        <v>69</v>
      </c>
      <c r="O330" s="6">
        <v>77</v>
      </c>
      <c r="P330" s="6">
        <v>312</v>
      </c>
      <c r="Q330" s="6">
        <v>145</v>
      </c>
      <c r="R330" s="6">
        <v>234</v>
      </c>
      <c r="S330" s="6">
        <v>153</v>
      </c>
      <c r="T330" s="6">
        <v>59</v>
      </c>
      <c r="U330" s="6">
        <v>164</v>
      </c>
      <c r="V330" s="6">
        <v>75</v>
      </c>
      <c r="W330" s="6">
        <v>130</v>
      </c>
      <c r="X330" s="6">
        <v>131</v>
      </c>
      <c r="Y330" s="6">
        <v>218</v>
      </c>
      <c r="Z330" s="6">
        <v>144</v>
      </c>
      <c r="AA330" s="6">
        <v>117</v>
      </c>
    </row>
    <row r="331" spans="2:27" s="5" customFormat="1" x14ac:dyDescent="0.2">
      <c r="B331" s="191"/>
      <c r="C331" s="15" t="s">
        <v>3</v>
      </c>
      <c r="D331" s="39">
        <v>8.3000000000000007</v>
      </c>
      <c r="E331" s="39">
        <v>5.8</v>
      </c>
      <c r="F331" s="39">
        <v>3.2</v>
      </c>
      <c r="G331" s="7">
        <v>5.2</v>
      </c>
      <c r="H331" s="7">
        <v>2</v>
      </c>
      <c r="I331" s="7">
        <v>2</v>
      </c>
      <c r="J331" s="7">
        <v>1.5</v>
      </c>
      <c r="K331" s="7">
        <v>1.4</v>
      </c>
      <c r="L331" s="7">
        <v>11</v>
      </c>
      <c r="M331" s="7">
        <v>1.4</v>
      </c>
      <c r="N331" s="7">
        <v>1.6</v>
      </c>
      <c r="O331" s="7">
        <v>1.5</v>
      </c>
      <c r="P331" s="7">
        <v>6.3</v>
      </c>
      <c r="Q331" s="7">
        <v>3.1</v>
      </c>
      <c r="R331" s="7">
        <v>4.2</v>
      </c>
      <c r="S331" s="7">
        <v>3.2</v>
      </c>
      <c r="T331" s="7">
        <v>1.2</v>
      </c>
      <c r="U331" s="7">
        <v>3.4</v>
      </c>
      <c r="V331" s="7">
        <v>1.5</v>
      </c>
      <c r="W331" s="7">
        <v>2.8</v>
      </c>
      <c r="X331" s="7">
        <v>3</v>
      </c>
      <c r="Y331" s="7">
        <v>4.3</v>
      </c>
      <c r="Z331" s="7">
        <v>2.9</v>
      </c>
      <c r="AA331" s="7">
        <v>2.7</v>
      </c>
    </row>
    <row r="332" spans="2:27" s="5" customFormat="1" x14ac:dyDescent="0.2">
      <c r="B332" s="190" t="s">
        <v>271</v>
      </c>
      <c r="C332" s="15" t="s">
        <v>2</v>
      </c>
      <c r="D332" s="39">
        <v>3715924</v>
      </c>
      <c r="E332" s="39">
        <v>353448</v>
      </c>
      <c r="F332" s="39">
        <v>12856</v>
      </c>
      <c r="G332" s="6">
        <v>1420</v>
      </c>
      <c r="H332" s="6">
        <v>630</v>
      </c>
      <c r="I332" s="6">
        <v>649</v>
      </c>
      <c r="J332" s="6">
        <v>455</v>
      </c>
      <c r="K332" s="6">
        <v>395</v>
      </c>
      <c r="L332" s="6">
        <v>798</v>
      </c>
      <c r="M332" s="6">
        <v>802</v>
      </c>
      <c r="N332" s="6">
        <v>366</v>
      </c>
      <c r="O332" s="6">
        <v>671</v>
      </c>
      <c r="P332" s="6">
        <v>1190</v>
      </c>
      <c r="Q332" s="6">
        <v>317</v>
      </c>
      <c r="R332" s="6">
        <v>751</v>
      </c>
      <c r="S332" s="6">
        <v>697</v>
      </c>
      <c r="T332" s="6">
        <v>504</v>
      </c>
      <c r="U332" s="6">
        <v>434</v>
      </c>
      <c r="V332" s="6">
        <v>484</v>
      </c>
      <c r="W332" s="6">
        <v>472</v>
      </c>
      <c r="X332" s="6">
        <v>277</v>
      </c>
      <c r="Y332" s="6">
        <v>490</v>
      </c>
      <c r="Z332" s="6">
        <v>709</v>
      </c>
      <c r="AA332" s="6">
        <v>345</v>
      </c>
    </row>
    <row r="333" spans="2:27" s="5" customFormat="1" x14ac:dyDescent="0.2">
      <c r="B333" s="191"/>
      <c r="C333" s="15" t="s">
        <v>3</v>
      </c>
      <c r="D333" s="39">
        <v>16.8</v>
      </c>
      <c r="E333" s="39">
        <v>15.9</v>
      </c>
      <c r="F333" s="39">
        <v>12.8</v>
      </c>
      <c r="G333" s="7">
        <v>27.1</v>
      </c>
      <c r="H333" s="7">
        <v>13.6</v>
      </c>
      <c r="I333" s="7">
        <v>14.2</v>
      </c>
      <c r="J333" s="7">
        <v>9.9</v>
      </c>
      <c r="K333" s="7">
        <v>8.6</v>
      </c>
      <c r="L333" s="7">
        <v>17.100000000000001</v>
      </c>
      <c r="M333" s="7">
        <v>16.2</v>
      </c>
      <c r="N333" s="7">
        <v>8.4</v>
      </c>
      <c r="O333" s="7">
        <v>13.1</v>
      </c>
      <c r="P333" s="7">
        <v>23.9</v>
      </c>
      <c r="Q333" s="7">
        <v>6.7</v>
      </c>
      <c r="R333" s="7">
        <v>13.6</v>
      </c>
      <c r="S333" s="7">
        <v>14.5</v>
      </c>
      <c r="T333" s="7">
        <v>10.199999999999999</v>
      </c>
      <c r="U333" s="7">
        <v>8.9</v>
      </c>
      <c r="V333" s="7">
        <v>9.8000000000000007</v>
      </c>
      <c r="W333" s="7">
        <v>10.3</v>
      </c>
      <c r="X333" s="7">
        <v>6.4</v>
      </c>
      <c r="Y333" s="7">
        <v>9.8000000000000007</v>
      </c>
      <c r="Z333" s="7">
        <v>14.3</v>
      </c>
      <c r="AA333" s="7">
        <v>8</v>
      </c>
    </row>
    <row r="334" spans="2:27" s="5" customFormat="1" x14ac:dyDescent="0.2">
      <c r="B334" s="190" t="s">
        <v>272</v>
      </c>
      <c r="C334" s="15" t="s">
        <v>2</v>
      </c>
      <c r="D334" s="39">
        <v>3401675</v>
      </c>
      <c r="E334" s="39">
        <v>321142</v>
      </c>
      <c r="F334" s="39">
        <v>11812</v>
      </c>
      <c r="G334" s="6">
        <v>1337</v>
      </c>
      <c r="H334" s="6">
        <v>574</v>
      </c>
      <c r="I334" s="6">
        <v>601</v>
      </c>
      <c r="J334" s="6">
        <v>412</v>
      </c>
      <c r="K334" s="6">
        <v>351</v>
      </c>
      <c r="L334" s="6">
        <v>747</v>
      </c>
      <c r="M334" s="6">
        <v>754</v>
      </c>
      <c r="N334" s="6">
        <v>331</v>
      </c>
      <c r="O334" s="6">
        <v>626</v>
      </c>
      <c r="P334" s="6">
        <v>1120</v>
      </c>
      <c r="Q334" s="6">
        <v>283</v>
      </c>
      <c r="R334" s="6">
        <v>698</v>
      </c>
      <c r="S334" s="6">
        <v>635</v>
      </c>
      <c r="T334" s="6">
        <v>450</v>
      </c>
      <c r="U334" s="6">
        <v>388</v>
      </c>
      <c r="V334" s="6">
        <v>437</v>
      </c>
      <c r="W334" s="6">
        <v>426</v>
      </c>
      <c r="X334" s="6">
        <v>241</v>
      </c>
      <c r="Y334" s="6">
        <v>440</v>
      </c>
      <c r="Z334" s="6">
        <v>656</v>
      </c>
      <c r="AA334" s="6">
        <v>305</v>
      </c>
    </row>
    <row r="335" spans="2:27" s="5" customFormat="1" x14ac:dyDescent="0.2">
      <c r="B335" s="191"/>
      <c r="C335" s="15" t="s">
        <v>3</v>
      </c>
      <c r="D335" s="39">
        <v>15.4</v>
      </c>
      <c r="E335" s="39">
        <v>14.4</v>
      </c>
      <c r="F335" s="39">
        <v>11.7</v>
      </c>
      <c r="G335" s="7">
        <v>25.5</v>
      </c>
      <c r="H335" s="7">
        <v>12.4</v>
      </c>
      <c r="I335" s="7">
        <v>13.1</v>
      </c>
      <c r="J335" s="7">
        <v>9</v>
      </c>
      <c r="K335" s="7">
        <v>7.6</v>
      </c>
      <c r="L335" s="7">
        <v>16</v>
      </c>
      <c r="M335" s="7">
        <v>15.2</v>
      </c>
      <c r="N335" s="7">
        <v>7.6</v>
      </c>
      <c r="O335" s="7">
        <v>12.2</v>
      </c>
      <c r="P335" s="7">
        <v>22.5</v>
      </c>
      <c r="Q335" s="7">
        <v>6</v>
      </c>
      <c r="R335" s="7">
        <v>12.7</v>
      </c>
      <c r="S335" s="7">
        <v>13.2</v>
      </c>
      <c r="T335" s="7">
        <v>9.1</v>
      </c>
      <c r="U335" s="7">
        <v>8</v>
      </c>
      <c r="V335" s="7">
        <v>8.9</v>
      </c>
      <c r="W335" s="7">
        <v>9.3000000000000007</v>
      </c>
      <c r="X335" s="7">
        <v>5.5</v>
      </c>
      <c r="Y335" s="7">
        <v>8.8000000000000007</v>
      </c>
      <c r="Z335" s="7">
        <v>13.2</v>
      </c>
      <c r="AA335" s="7">
        <v>7.1</v>
      </c>
    </row>
    <row r="336" spans="2:27" s="5" customFormat="1" x14ac:dyDescent="0.2">
      <c r="B336" s="190" t="s">
        <v>273</v>
      </c>
      <c r="C336" s="15" t="s">
        <v>2</v>
      </c>
      <c r="D336" s="39">
        <v>314249</v>
      </c>
      <c r="E336" s="39">
        <v>32306</v>
      </c>
      <c r="F336" s="39">
        <v>1044</v>
      </c>
      <c r="G336" s="6">
        <v>83</v>
      </c>
      <c r="H336" s="6">
        <v>56</v>
      </c>
      <c r="I336" s="6">
        <v>48</v>
      </c>
      <c r="J336" s="6">
        <v>43</v>
      </c>
      <c r="K336" s="6">
        <v>44</v>
      </c>
      <c r="L336" s="6">
        <v>51</v>
      </c>
      <c r="M336" s="6">
        <v>48</v>
      </c>
      <c r="N336" s="6">
        <v>35</v>
      </c>
      <c r="O336" s="6">
        <v>45</v>
      </c>
      <c r="P336" s="6">
        <v>70</v>
      </c>
      <c r="Q336" s="6">
        <v>34</v>
      </c>
      <c r="R336" s="6">
        <v>53</v>
      </c>
      <c r="S336" s="6">
        <v>62</v>
      </c>
      <c r="T336" s="6">
        <v>54</v>
      </c>
      <c r="U336" s="6">
        <v>46</v>
      </c>
      <c r="V336" s="6">
        <v>47</v>
      </c>
      <c r="W336" s="6">
        <v>46</v>
      </c>
      <c r="X336" s="6">
        <v>36</v>
      </c>
      <c r="Y336" s="6">
        <v>50</v>
      </c>
      <c r="Z336" s="6">
        <v>53</v>
      </c>
      <c r="AA336" s="6">
        <v>40</v>
      </c>
    </row>
    <row r="337" spans="1:27" s="5" customFormat="1" x14ac:dyDescent="0.2">
      <c r="B337" s="191"/>
      <c r="C337" s="15" t="s">
        <v>3</v>
      </c>
      <c r="D337" s="39">
        <v>1.4</v>
      </c>
      <c r="E337" s="39">
        <v>1.5</v>
      </c>
      <c r="F337" s="39">
        <v>1</v>
      </c>
      <c r="G337" s="7">
        <v>1.6</v>
      </c>
      <c r="H337" s="7">
        <v>1.2</v>
      </c>
      <c r="I337" s="7">
        <v>1</v>
      </c>
      <c r="J337" s="7">
        <v>0.9</v>
      </c>
      <c r="K337" s="7">
        <v>1</v>
      </c>
      <c r="L337" s="7">
        <v>1.1000000000000001</v>
      </c>
      <c r="M337" s="7">
        <v>1</v>
      </c>
      <c r="N337" s="7">
        <v>0.8</v>
      </c>
      <c r="O337" s="7">
        <v>0.9</v>
      </c>
      <c r="P337" s="7">
        <v>1.4</v>
      </c>
      <c r="Q337" s="7">
        <v>0.7</v>
      </c>
      <c r="R337" s="7">
        <v>1</v>
      </c>
      <c r="S337" s="7">
        <v>1.3</v>
      </c>
      <c r="T337" s="7">
        <v>1.1000000000000001</v>
      </c>
      <c r="U337" s="7">
        <v>0.9</v>
      </c>
      <c r="V337" s="7">
        <v>1</v>
      </c>
      <c r="W337" s="7">
        <v>1</v>
      </c>
      <c r="X337" s="7">
        <v>0.8</v>
      </c>
      <c r="Y337" s="7">
        <v>1</v>
      </c>
      <c r="Z337" s="7">
        <v>1.1000000000000001</v>
      </c>
      <c r="AA337" s="7">
        <v>0.9</v>
      </c>
    </row>
    <row r="338" spans="1:27" s="5" customFormat="1" x14ac:dyDescent="0.2">
      <c r="B338" s="190" t="s">
        <v>274</v>
      </c>
      <c r="C338" s="15" t="s">
        <v>2</v>
      </c>
      <c r="D338" s="39">
        <v>295110</v>
      </c>
      <c r="E338" s="39">
        <v>32758</v>
      </c>
      <c r="F338" s="39">
        <v>1594</v>
      </c>
      <c r="G338" s="6">
        <v>71</v>
      </c>
      <c r="H338" s="6">
        <v>76</v>
      </c>
      <c r="I338" s="6">
        <v>76</v>
      </c>
      <c r="J338" s="6">
        <v>63</v>
      </c>
      <c r="K338" s="6">
        <v>57</v>
      </c>
      <c r="L338" s="6">
        <v>80</v>
      </c>
      <c r="M338" s="6">
        <v>70</v>
      </c>
      <c r="N338" s="6">
        <v>54</v>
      </c>
      <c r="O338" s="6">
        <v>64</v>
      </c>
      <c r="P338" s="6">
        <v>107</v>
      </c>
      <c r="Q338" s="6">
        <v>92</v>
      </c>
      <c r="R338" s="6">
        <v>69</v>
      </c>
      <c r="S338" s="6">
        <v>71</v>
      </c>
      <c r="T338" s="6">
        <v>79</v>
      </c>
      <c r="U338" s="6">
        <v>55</v>
      </c>
      <c r="V338" s="6">
        <v>86</v>
      </c>
      <c r="W338" s="6">
        <v>70</v>
      </c>
      <c r="X338" s="6">
        <v>92</v>
      </c>
      <c r="Y338" s="6">
        <v>97</v>
      </c>
      <c r="Z338" s="6">
        <v>70</v>
      </c>
      <c r="AA338" s="6">
        <v>95</v>
      </c>
    </row>
    <row r="339" spans="1:27" s="5" customFormat="1" x14ac:dyDescent="0.2">
      <c r="B339" s="191"/>
      <c r="C339" s="15" t="s">
        <v>3</v>
      </c>
      <c r="D339" s="39">
        <v>1.3</v>
      </c>
      <c r="E339" s="39">
        <v>1.5</v>
      </c>
      <c r="F339" s="39">
        <v>1.6</v>
      </c>
      <c r="G339" s="7">
        <v>1.4</v>
      </c>
      <c r="H339" s="7">
        <v>1.6</v>
      </c>
      <c r="I339" s="7">
        <v>1.7</v>
      </c>
      <c r="J339" s="7">
        <v>1.4</v>
      </c>
      <c r="K339" s="7">
        <v>1.2</v>
      </c>
      <c r="L339" s="7">
        <v>1.7</v>
      </c>
      <c r="M339" s="7">
        <v>1.4</v>
      </c>
      <c r="N339" s="7">
        <v>1.2</v>
      </c>
      <c r="O339" s="7">
        <v>1.3</v>
      </c>
      <c r="P339" s="7">
        <v>2.1</v>
      </c>
      <c r="Q339" s="7">
        <v>1.9</v>
      </c>
      <c r="R339" s="7">
        <v>1.3</v>
      </c>
      <c r="S339" s="7">
        <v>1.5</v>
      </c>
      <c r="T339" s="7">
        <v>1.6</v>
      </c>
      <c r="U339" s="7">
        <v>1.1000000000000001</v>
      </c>
      <c r="V339" s="7">
        <v>1.7</v>
      </c>
      <c r="W339" s="7">
        <v>1.5</v>
      </c>
      <c r="X339" s="7">
        <v>2.1</v>
      </c>
      <c r="Y339" s="7">
        <v>1.9</v>
      </c>
      <c r="Z339" s="7">
        <v>1.4</v>
      </c>
      <c r="AA339" s="7">
        <v>2.2000000000000002</v>
      </c>
    </row>
    <row r="340" spans="1:27" s="5" customFormat="1" x14ac:dyDescent="0.2">
      <c r="A340" s="5" t="s">
        <v>262</v>
      </c>
      <c r="B340" s="190" t="s">
        <v>254</v>
      </c>
      <c r="C340" s="15" t="s">
        <v>2</v>
      </c>
      <c r="D340" s="39">
        <v>22063368</v>
      </c>
      <c r="E340" s="39">
        <v>2224059</v>
      </c>
      <c r="F340" s="39">
        <v>100734</v>
      </c>
      <c r="G340" s="6">
        <v>5248</v>
      </c>
      <c r="H340" s="6">
        <v>4620</v>
      </c>
      <c r="I340" s="6">
        <v>4577</v>
      </c>
      <c r="J340" s="6">
        <v>4595</v>
      </c>
      <c r="K340" s="6">
        <v>4590</v>
      </c>
      <c r="L340" s="6">
        <v>4666</v>
      </c>
      <c r="M340" s="6">
        <v>4957</v>
      </c>
      <c r="N340" s="6">
        <v>4378</v>
      </c>
      <c r="O340" s="6">
        <v>5112</v>
      </c>
      <c r="P340" s="6">
        <v>4982</v>
      </c>
      <c r="Q340" s="6">
        <v>4725</v>
      </c>
      <c r="R340" s="6">
        <v>5511</v>
      </c>
      <c r="S340" s="6">
        <v>4798</v>
      </c>
      <c r="T340" s="6">
        <v>4953</v>
      </c>
      <c r="U340" s="6">
        <v>4878</v>
      </c>
      <c r="V340" s="6">
        <v>4920</v>
      </c>
      <c r="W340" s="6">
        <v>4583</v>
      </c>
      <c r="X340" s="6">
        <v>4350</v>
      </c>
      <c r="Y340" s="6">
        <v>5024</v>
      </c>
      <c r="Z340" s="6">
        <v>4965</v>
      </c>
      <c r="AA340" s="6">
        <v>4302</v>
      </c>
    </row>
    <row r="341" spans="1:27" s="5" customFormat="1" x14ac:dyDescent="0.2">
      <c r="B341" s="191"/>
      <c r="C341" s="15" t="s">
        <v>3</v>
      </c>
      <c r="D341" s="39">
        <v>100</v>
      </c>
      <c r="E341" s="39">
        <v>100</v>
      </c>
      <c r="F341" s="39">
        <v>100</v>
      </c>
      <c r="G341" s="7">
        <v>100</v>
      </c>
      <c r="H341" s="7">
        <v>100</v>
      </c>
      <c r="I341" s="7">
        <v>100</v>
      </c>
      <c r="J341" s="7">
        <v>100</v>
      </c>
      <c r="K341" s="7">
        <v>100</v>
      </c>
      <c r="L341" s="7">
        <v>100</v>
      </c>
      <c r="M341" s="7">
        <v>100</v>
      </c>
      <c r="N341" s="7">
        <v>100</v>
      </c>
      <c r="O341" s="7">
        <v>100</v>
      </c>
      <c r="P341" s="7">
        <v>100</v>
      </c>
      <c r="Q341" s="7">
        <v>100</v>
      </c>
      <c r="R341" s="7">
        <v>100</v>
      </c>
      <c r="S341" s="7">
        <v>100</v>
      </c>
      <c r="T341" s="7">
        <v>100</v>
      </c>
      <c r="U341" s="7">
        <v>100</v>
      </c>
      <c r="V341" s="7">
        <v>100</v>
      </c>
      <c r="W341" s="7">
        <v>100</v>
      </c>
      <c r="X341" s="7">
        <v>100</v>
      </c>
      <c r="Y341" s="7">
        <v>100</v>
      </c>
      <c r="Z341" s="7">
        <v>100</v>
      </c>
      <c r="AA341" s="7">
        <v>100</v>
      </c>
    </row>
    <row r="342" spans="1:27" s="5" customFormat="1" x14ac:dyDescent="0.2">
      <c r="B342" s="190" t="s">
        <v>255</v>
      </c>
      <c r="C342" s="15" t="s">
        <v>2</v>
      </c>
      <c r="D342" s="39">
        <v>594561</v>
      </c>
      <c r="E342" s="39">
        <v>74100</v>
      </c>
      <c r="F342" s="39">
        <v>932</v>
      </c>
      <c r="G342" s="6">
        <v>99</v>
      </c>
      <c r="H342" s="6">
        <v>24</v>
      </c>
      <c r="I342" s="6">
        <v>26</v>
      </c>
      <c r="J342" s="6">
        <v>57</v>
      </c>
      <c r="K342" s="6">
        <v>39</v>
      </c>
      <c r="L342" s="6">
        <v>36</v>
      </c>
      <c r="M342" s="6">
        <v>33</v>
      </c>
      <c r="N342" s="6">
        <v>32</v>
      </c>
      <c r="O342" s="6">
        <v>53</v>
      </c>
      <c r="P342" s="6">
        <v>89</v>
      </c>
      <c r="Q342" s="6">
        <v>16</v>
      </c>
      <c r="R342" s="6">
        <v>34</v>
      </c>
      <c r="S342" s="6">
        <v>71</v>
      </c>
      <c r="T342" s="6">
        <v>51</v>
      </c>
      <c r="U342" s="6">
        <v>63</v>
      </c>
      <c r="V342" s="6">
        <v>43</v>
      </c>
      <c r="W342" s="6">
        <v>43</v>
      </c>
      <c r="X342" s="6">
        <v>25</v>
      </c>
      <c r="Y342" s="6">
        <v>33</v>
      </c>
      <c r="Z342" s="6">
        <v>36</v>
      </c>
      <c r="AA342" s="6">
        <v>29</v>
      </c>
    </row>
    <row r="343" spans="1:27" s="5" customFormat="1" x14ac:dyDescent="0.2">
      <c r="B343" s="191"/>
      <c r="C343" s="15" t="s">
        <v>3</v>
      </c>
      <c r="D343" s="39">
        <v>2.7</v>
      </c>
      <c r="E343" s="39">
        <v>3.3</v>
      </c>
      <c r="F343" s="39">
        <v>0.9</v>
      </c>
      <c r="G343" s="7">
        <v>1.9</v>
      </c>
      <c r="H343" s="7">
        <v>0.5</v>
      </c>
      <c r="I343" s="7">
        <v>0.6</v>
      </c>
      <c r="J343" s="7">
        <v>1.2</v>
      </c>
      <c r="K343" s="7">
        <v>0.8</v>
      </c>
      <c r="L343" s="7">
        <v>0.8</v>
      </c>
      <c r="M343" s="7">
        <v>0.7</v>
      </c>
      <c r="N343" s="7">
        <v>0.7</v>
      </c>
      <c r="O343" s="7">
        <v>1</v>
      </c>
      <c r="P343" s="7">
        <v>1.8</v>
      </c>
      <c r="Q343" s="7">
        <v>0.3</v>
      </c>
      <c r="R343" s="7">
        <v>0.6</v>
      </c>
      <c r="S343" s="7">
        <v>1.5</v>
      </c>
      <c r="T343" s="7">
        <v>1</v>
      </c>
      <c r="U343" s="7">
        <v>1.3</v>
      </c>
      <c r="V343" s="7">
        <v>0.9</v>
      </c>
      <c r="W343" s="7">
        <v>0.9</v>
      </c>
      <c r="X343" s="7">
        <v>0.6</v>
      </c>
      <c r="Y343" s="7">
        <v>0.7</v>
      </c>
      <c r="Z343" s="7">
        <v>0.7</v>
      </c>
      <c r="AA343" s="7">
        <v>0.7</v>
      </c>
    </row>
    <row r="344" spans="1:27" s="5" customFormat="1" x14ac:dyDescent="0.2">
      <c r="B344" s="190" t="s">
        <v>256</v>
      </c>
      <c r="C344" s="15" t="s">
        <v>2</v>
      </c>
      <c r="D344" s="39">
        <v>21468807</v>
      </c>
      <c r="E344" s="39">
        <v>2149959</v>
      </c>
      <c r="F344" s="39">
        <v>99802</v>
      </c>
      <c r="G344" s="6">
        <v>5149</v>
      </c>
      <c r="H344" s="6">
        <v>4596</v>
      </c>
      <c r="I344" s="6">
        <v>4551</v>
      </c>
      <c r="J344" s="6">
        <v>4538</v>
      </c>
      <c r="K344" s="6">
        <v>4551</v>
      </c>
      <c r="L344" s="6">
        <v>4630</v>
      </c>
      <c r="M344" s="6">
        <v>4924</v>
      </c>
      <c r="N344" s="6">
        <v>4346</v>
      </c>
      <c r="O344" s="6">
        <v>5059</v>
      </c>
      <c r="P344" s="6">
        <v>4893</v>
      </c>
      <c r="Q344" s="6">
        <v>4709</v>
      </c>
      <c r="R344" s="6">
        <v>5477</v>
      </c>
      <c r="S344" s="6">
        <v>4727</v>
      </c>
      <c r="T344" s="6">
        <v>4902</v>
      </c>
      <c r="U344" s="6">
        <v>4815</v>
      </c>
      <c r="V344" s="6">
        <v>4877</v>
      </c>
      <c r="W344" s="6">
        <v>4540</v>
      </c>
      <c r="X344" s="6">
        <v>4325</v>
      </c>
      <c r="Y344" s="6">
        <v>4991</v>
      </c>
      <c r="Z344" s="6">
        <v>4929</v>
      </c>
      <c r="AA344" s="6">
        <v>4273</v>
      </c>
    </row>
    <row r="345" spans="1:27" s="5" customFormat="1" x14ac:dyDescent="0.2">
      <c r="B345" s="191"/>
      <c r="C345" s="15" t="s">
        <v>3</v>
      </c>
      <c r="D345" s="39">
        <v>97.3</v>
      </c>
      <c r="E345" s="39">
        <v>96.7</v>
      </c>
      <c r="F345" s="39">
        <v>99.1</v>
      </c>
      <c r="G345" s="7">
        <v>98.1</v>
      </c>
      <c r="H345" s="7">
        <v>99.5</v>
      </c>
      <c r="I345" s="7">
        <v>99.4</v>
      </c>
      <c r="J345" s="7">
        <v>98.8</v>
      </c>
      <c r="K345" s="7">
        <v>99.2</v>
      </c>
      <c r="L345" s="7">
        <v>99.2</v>
      </c>
      <c r="M345" s="7">
        <v>99.3</v>
      </c>
      <c r="N345" s="7">
        <v>99.3</v>
      </c>
      <c r="O345" s="7">
        <v>99</v>
      </c>
      <c r="P345" s="7">
        <v>98.2</v>
      </c>
      <c r="Q345" s="7">
        <v>99.7</v>
      </c>
      <c r="R345" s="7">
        <v>99.4</v>
      </c>
      <c r="S345" s="7">
        <v>98.5</v>
      </c>
      <c r="T345" s="7">
        <v>99</v>
      </c>
      <c r="U345" s="7">
        <v>98.7</v>
      </c>
      <c r="V345" s="7">
        <v>99.1</v>
      </c>
      <c r="W345" s="7">
        <v>99.1</v>
      </c>
      <c r="X345" s="7">
        <v>99.4</v>
      </c>
      <c r="Y345" s="7">
        <v>99.3</v>
      </c>
      <c r="Z345" s="7">
        <v>99.3</v>
      </c>
      <c r="AA345" s="7">
        <v>99.3</v>
      </c>
    </row>
    <row r="346" spans="1:27" s="5" customFormat="1" x14ac:dyDescent="0.2">
      <c r="B346" s="190" t="s">
        <v>257</v>
      </c>
      <c r="C346" s="15" t="s">
        <v>2</v>
      </c>
      <c r="D346" s="39">
        <v>1928596</v>
      </c>
      <c r="E346" s="39">
        <v>147894</v>
      </c>
      <c r="F346" s="39">
        <v>4320</v>
      </c>
      <c r="G346" s="6">
        <v>439</v>
      </c>
      <c r="H346" s="6">
        <v>186</v>
      </c>
      <c r="I346" s="6">
        <v>182</v>
      </c>
      <c r="J346" s="6">
        <v>114</v>
      </c>
      <c r="K346" s="6">
        <v>133</v>
      </c>
      <c r="L346" s="6">
        <v>243</v>
      </c>
      <c r="M346" s="6">
        <v>232</v>
      </c>
      <c r="N346" s="6">
        <v>125</v>
      </c>
      <c r="O346" s="6">
        <v>211</v>
      </c>
      <c r="P346" s="6">
        <v>362</v>
      </c>
      <c r="Q346" s="6">
        <v>237</v>
      </c>
      <c r="R346" s="6">
        <v>210</v>
      </c>
      <c r="S346" s="6">
        <v>231</v>
      </c>
      <c r="T346" s="6">
        <v>67</v>
      </c>
      <c r="U346" s="6">
        <v>120</v>
      </c>
      <c r="V346" s="6">
        <v>173</v>
      </c>
      <c r="W346" s="6">
        <v>147</v>
      </c>
      <c r="X346" s="6">
        <v>237</v>
      </c>
      <c r="Y346" s="6">
        <v>224</v>
      </c>
      <c r="Z346" s="6">
        <v>233</v>
      </c>
      <c r="AA346" s="6">
        <v>214</v>
      </c>
    </row>
    <row r="347" spans="1:27" s="5" customFormat="1" x14ac:dyDescent="0.2">
      <c r="B347" s="191"/>
      <c r="C347" s="15" t="s">
        <v>3</v>
      </c>
      <c r="D347" s="39">
        <v>8.6999999999999993</v>
      </c>
      <c r="E347" s="39">
        <v>6.6</v>
      </c>
      <c r="F347" s="39">
        <v>4.3</v>
      </c>
      <c r="G347" s="7">
        <v>8.4</v>
      </c>
      <c r="H347" s="7">
        <v>4</v>
      </c>
      <c r="I347" s="7">
        <v>4</v>
      </c>
      <c r="J347" s="7">
        <v>2.5</v>
      </c>
      <c r="K347" s="7">
        <v>2.9</v>
      </c>
      <c r="L347" s="7">
        <v>5.2</v>
      </c>
      <c r="M347" s="7">
        <v>4.7</v>
      </c>
      <c r="N347" s="7">
        <v>2.9</v>
      </c>
      <c r="O347" s="7">
        <v>4.0999999999999996</v>
      </c>
      <c r="P347" s="7">
        <v>7.3</v>
      </c>
      <c r="Q347" s="7">
        <v>5</v>
      </c>
      <c r="R347" s="7">
        <v>3.8</v>
      </c>
      <c r="S347" s="7">
        <v>4.8</v>
      </c>
      <c r="T347" s="7">
        <v>1.4</v>
      </c>
      <c r="U347" s="7">
        <v>2.5</v>
      </c>
      <c r="V347" s="7">
        <v>3.5</v>
      </c>
      <c r="W347" s="7">
        <v>3.2</v>
      </c>
      <c r="X347" s="7">
        <v>5.4</v>
      </c>
      <c r="Y347" s="7">
        <v>4.5</v>
      </c>
      <c r="Z347" s="7">
        <v>4.7</v>
      </c>
      <c r="AA347" s="7">
        <v>5</v>
      </c>
    </row>
    <row r="348" spans="1:27" s="5" customFormat="1" x14ac:dyDescent="0.2">
      <c r="B348" s="190" t="s">
        <v>258</v>
      </c>
      <c r="C348" s="15" t="s">
        <v>2</v>
      </c>
      <c r="D348" s="39">
        <v>1060967</v>
      </c>
      <c r="E348" s="39">
        <v>82156</v>
      </c>
      <c r="F348" s="39">
        <v>2487</v>
      </c>
      <c r="G348" s="6">
        <v>155</v>
      </c>
      <c r="H348" s="6">
        <v>116</v>
      </c>
      <c r="I348" s="6">
        <v>116</v>
      </c>
      <c r="J348" s="6">
        <v>59</v>
      </c>
      <c r="K348" s="6">
        <v>76</v>
      </c>
      <c r="L348" s="6">
        <v>140</v>
      </c>
      <c r="M348" s="6">
        <v>151</v>
      </c>
      <c r="N348" s="6">
        <v>60</v>
      </c>
      <c r="O348" s="6">
        <v>111</v>
      </c>
      <c r="P348" s="6">
        <v>191</v>
      </c>
      <c r="Q348" s="6">
        <v>153</v>
      </c>
      <c r="R348" s="6">
        <v>140</v>
      </c>
      <c r="S348" s="6">
        <v>126</v>
      </c>
      <c r="T348" s="6">
        <v>44</v>
      </c>
      <c r="U348" s="6">
        <v>67</v>
      </c>
      <c r="V348" s="6">
        <v>104</v>
      </c>
      <c r="W348" s="6">
        <v>87</v>
      </c>
      <c r="X348" s="6">
        <v>177</v>
      </c>
      <c r="Y348" s="6">
        <v>146</v>
      </c>
      <c r="Z348" s="6">
        <v>138</v>
      </c>
      <c r="AA348" s="6">
        <v>130</v>
      </c>
    </row>
    <row r="349" spans="1:27" s="5" customFormat="1" x14ac:dyDescent="0.2">
      <c r="B349" s="191"/>
      <c r="C349" s="15" t="s">
        <v>3</v>
      </c>
      <c r="D349" s="39">
        <v>4.8</v>
      </c>
      <c r="E349" s="39">
        <v>3.7</v>
      </c>
      <c r="F349" s="39">
        <v>2.5</v>
      </c>
      <c r="G349" s="7">
        <v>3</v>
      </c>
      <c r="H349" s="7">
        <v>2.5</v>
      </c>
      <c r="I349" s="7">
        <v>2.5</v>
      </c>
      <c r="J349" s="7">
        <v>1.3</v>
      </c>
      <c r="K349" s="7">
        <v>1.7</v>
      </c>
      <c r="L349" s="7">
        <v>3</v>
      </c>
      <c r="M349" s="7">
        <v>3</v>
      </c>
      <c r="N349" s="7">
        <v>1.4</v>
      </c>
      <c r="O349" s="7">
        <v>2.2000000000000002</v>
      </c>
      <c r="P349" s="7">
        <v>3.8</v>
      </c>
      <c r="Q349" s="7">
        <v>3.2</v>
      </c>
      <c r="R349" s="7">
        <v>2.5</v>
      </c>
      <c r="S349" s="7">
        <v>2.6</v>
      </c>
      <c r="T349" s="7">
        <v>0.9</v>
      </c>
      <c r="U349" s="7">
        <v>1.4</v>
      </c>
      <c r="V349" s="7">
        <v>2.1</v>
      </c>
      <c r="W349" s="7">
        <v>1.9</v>
      </c>
      <c r="X349" s="7">
        <v>4.0999999999999996</v>
      </c>
      <c r="Y349" s="7">
        <v>2.9</v>
      </c>
      <c r="Z349" s="7">
        <v>2.8</v>
      </c>
      <c r="AA349" s="7">
        <v>3</v>
      </c>
    </row>
    <row r="350" spans="1:27" s="5" customFormat="1" x14ac:dyDescent="0.2">
      <c r="B350" s="190" t="s">
        <v>259</v>
      </c>
      <c r="C350" s="15" t="s">
        <v>2</v>
      </c>
      <c r="D350" s="39">
        <v>2.4</v>
      </c>
      <c r="E350" s="39">
        <v>2.2999999999999998</v>
      </c>
      <c r="F350" s="39">
        <v>2.2999999999999998</v>
      </c>
      <c r="G350" s="7">
        <v>2.1</v>
      </c>
      <c r="H350" s="7">
        <v>2.4</v>
      </c>
      <c r="I350" s="7">
        <v>2.2999999999999998</v>
      </c>
      <c r="J350" s="7">
        <v>2.2999999999999998</v>
      </c>
      <c r="K350" s="7">
        <v>2.2999999999999998</v>
      </c>
      <c r="L350" s="7">
        <v>2.2000000000000002</v>
      </c>
      <c r="M350" s="7">
        <v>2.4</v>
      </c>
      <c r="N350" s="7">
        <v>2.2000000000000002</v>
      </c>
      <c r="O350" s="7">
        <v>2.2999999999999998</v>
      </c>
      <c r="P350" s="7">
        <v>2.1</v>
      </c>
      <c r="Q350" s="7">
        <v>2.2999999999999998</v>
      </c>
      <c r="R350" s="7">
        <v>2.4</v>
      </c>
      <c r="S350" s="7">
        <v>2.2000000000000002</v>
      </c>
      <c r="T350" s="7">
        <v>2.2999999999999998</v>
      </c>
      <c r="U350" s="7">
        <v>2.2999999999999998</v>
      </c>
      <c r="V350" s="7">
        <v>2.2000000000000002</v>
      </c>
      <c r="W350" s="7">
        <v>2.2999999999999998</v>
      </c>
      <c r="X350" s="7">
        <v>2.4</v>
      </c>
      <c r="Y350" s="7">
        <v>2.2999999999999998</v>
      </c>
      <c r="Z350" s="7">
        <v>2.2999999999999998</v>
      </c>
      <c r="AA350" s="7">
        <v>2.2000000000000002</v>
      </c>
    </row>
    <row r="351" spans="1:27" s="5" customFormat="1" x14ac:dyDescent="0.2">
      <c r="B351" s="191"/>
      <c r="C351" s="15" t="s">
        <v>3</v>
      </c>
      <c r="D351" s="39"/>
      <c r="E351" s="39"/>
      <c r="F351" s="39"/>
      <c r="G351" s="8" t="s">
        <v>30</v>
      </c>
      <c r="H351" s="8" t="s">
        <v>30</v>
      </c>
      <c r="I351" s="8" t="s">
        <v>30</v>
      </c>
      <c r="J351" s="8" t="s">
        <v>30</v>
      </c>
      <c r="K351" s="8" t="s">
        <v>30</v>
      </c>
      <c r="L351" s="8" t="s">
        <v>30</v>
      </c>
      <c r="M351" s="8" t="s">
        <v>30</v>
      </c>
      <c r="N351" s="8" t="s">
        <v>30</v>
      </c>
      <c r="O351" s="8" t="s">
        <v>30</v>
      </c>
      <c r="P351" s="8" t="s">
        <v>30</v>
      </c>
      <c r="Q351" s="8" t="s">
        <v>30</v>
      </c>
      <c r="R351" s="8" t="s">
        <v>30</v>
      </c>
      <c r="S351" s="8" t="s">
        <v>30</v>
      </c>
      <c r="T351" s="8" t="s">
        <v>30</v>
      </c>
      <c r="U351" s="8" t="s">
        <v>30</v>
      </c>
      <c r="V351" s="8" t="s">
        <v>30</v>
      </c>
      <c r="W351" s="8" t="s">
        <v>30</v>
      </c>
      <c r="X351" s="8" t="s">
        <v>30</v>
      </c>
      <c r="Y351" s="8" t="s">
        <v>30</v>
      </c>
      <c r="Z351" s="8" t="s">
        <v>30</v>
      </c>
      <c r="AA351" s="8" t="s">
        <v>30</v>
      </c>
    </row>
    <row r="352" spans="1:27" s="5" customFormat="1" x14ac:dyDescent="0.2">
      <c r="B352" s="190" t="s">
        <v>260</v>
      </c>
      <c r="C352" s="15" t="s">
        <v>2</v>
      </c>
      <c r="D352" s="39">
        <v>5.4</v>
      </c>
      <c r="E352" s="39">
        <v>5.4</v>
      </c>
      <c r="F352" s="39">
        <v>5.3</v>
      </c>
      <c r="G352" s="7">
        <v>4.8</v>
      </c>
      <c r="H352" s="7">
        <v>5.3</v>
      </c>
      <c r="I352" s="7">
        <v>5.3</v>
      </c>
      <c r="J352" s="7">
        <v>5.4</v>
      </c>
      <c r="K352" s="7">
        <v>5.6</v>
      </c>
      <c r="L352" s="7">
        <v>5.0999999999999996</v>
      </c>
      <c r="M352" s="7">
        <v>5.2</v>
      </c>
      <c r="N352" s="7">
        <v>5.5</v>
      </c>
      <c r="O352" s="7">
        <v>5.2</v>
      </c>
      <c r="P352" s="7">
        <v>4.8</v>
      </c>
      <c r="Q352" s="7">
        <v>5</v>
      </c>
      <c r="R352" s="7">
        <v>5.3</v>
      </c>
      <c r="S352" s="7">
        <v>5.2</v>
      </c>
      <c r="T352" s="7">
        <v>6.3</v>
      </c>
      <c r="U352" s="7">
        <v>5.7</v>
      </c>
      <c r="V352" s="7">
        <v>5.3</v>
      </c>
      <c r="W352" s="7">
        <v>5.5</v>
      </c>
      <c r="X352" s="7">
        <v>5</v>
      </c>
      <c r="Y352" s="7">
        <v>5</v>
      </c>
      <c r="Z352" s="7">
        <v>5.0999999999999996</v>
      </c>
      <c r="AA352" s="7">
        <v>5.0999999999999996</v>
      </c>
    </row>
    <row r="353" spans="1:27" s="5" customFormat="1" x14ac:dyDescent="0.2">
      <c r="B353" s="191"/>
      <c r="C353" s="15" t="s">
        <v>3</v>
      </c>
      <c r="D353" s="39"/>
      <c r="E353" s="39"/>
      <c r="F353" s="39"/>
      <c r="G353" s="8" t="s">
        <v>30</v>
      </c>
      <c r="H353" s="8" t="s">
        <v>30</v>
      </c>
      <c r="I353" s="8" t="s">
        <v>30</v>
      </c>
      <c r="J353" s="8" t="s">
        <v>30</v>
      </c>
      <c r="K353" s="8" t="s">
        <v>30</v>
      </c>
      <c r="L353" s="8" t="s">
        <v>30</v>
      </c>
      <c r="M353" s="8" t="s">
        <v>30</v>
      </c>
      <c r="N353" s="8" t="s">
        <v>30</v>
      </c>
      <c r="O353" s="8" t="s">
        <v>30</v>
      </c>
      <c r="P353" s="8" t="s">
        <v>30</v>
      </c>
      <c r="Q353" s="8" t="s">
        <v>30</v>
      </c>
      <c r="R353" s="8" t="s">
        <v>30</v>
      </c>
      <c r="S353" s="8" t="s">
        <v>30</v>
      </c>
      <c r="T353" s="8" t="s">
        <v>30</v>
      </c>
      <c r="U353" s="8" t="s">
        <v>30</v>
      </c>
      <c r="V353" s="8" t="s">
        <v>30</v>
      </c>
      <c r="W353" s="8" t="s">
        <v>30</v>
      </c>
      <c r="X353" s="8" t="s">
        <v>30</v>
      </c>
      <c r="Y353" s="8" t="s">
        <v>30</v>
      </c>
      <c r="Z353" s="8" t="s">
        <v>30</v>
      </c>
      <c r="AA353" s="8" t="s">
        <v>30</v>
      </c>
    </row>
    <row r="354" spans="1:27" s="5" customFormat="1" x14ac:dyDescent="0.2">
      <c r="B354" s="190" t="s">
        <v>261</v>
      </c>
      <c r="C354" s="15" t="s">
        <v>2</v>
      </c>
      <c r="D354" s="39">
        <v>2.7</v>
      </c>
      <c r="E354" s="39">
        <v>2.7</v>
      </c>
      <c r="F354" s="39">
        <v>2.7</v>
      </c>
      <c r="G354" s="7">
        <v>2.5</v>
      </c>
      <c r="H354" s="7">
        <v>2.8</v>
      </c>
      <c r="I354" s="7">
        <v>2.7</v>
      </c>
      <c r="J354" s="7">
        <v>2.8</v>
      </c>
      <c r="K354" s="7">
        <v>2.9</v>
      </c>
      <c r="L354" s="7">
        <v>2.6</v>
      </c>
      <c r="M354" s="7">
        <v>2.8</v>
      </c>
      <c r="N354" s="7">
        <v>2.8</v>
      </c>
      <c r="O354" s="7">
        <v>2.7</v>
      </c>
      <c r="P354" s="7">
        <v>2.4</v>
      </c>
      <c r="Q354" s="7">
        <v>2.6</v>
      </c>
      <c r="R354" s="7">
        <v>2.8</v>
      </c>
      <c r="S354" s="7">
        <v>2.7</v>
      </c>
      <c r="T354" s="7">
        <v>3.1</v>
      </c>
      <c r="U354" s="7">
        <v>2.9</v>
      </c>
      <c r="V354" s="7">
        <v>2.7</v>
      </c>
      <c r="W354" s="7">
        <v>2.8</v>
      </c>
      <c r="X354" s="7">
        <v>2.6</v>
      </c>
      <c r="Y354" s="7">
        <v>2.6</v>
      </c>
      <c r="Z354" s="7">
        <v>2.7</v>
      </c>
      <c r="AA354" s="7">
        <v>2.6</v>
      </c>
    </row>
    <row r="355" spans="1:27" s="5" customFormat="1" x14ac:dyDescent="0.2">
      <c r="B355" s="191"/>
      <c r="C355" s="15" t="s">
        <v>3</v>
      </c>
      <c r="D355" s="39"/>
      <c r="E355" s="39"/>
      <c r="F355" s="39"/>
      <c r="G355" s="8" t="s">
        <v>30</v>
      </c>
      <c r="H355" s="8" t="s">
        <v>30</v>
      </c>
      <c r="I355" s="8" t="s">
        <v>30</v>
      </c>
      <c r="J355" s="8" t="s">
        <v>30</v>
      </c>
      <c r="K355" s="8" t="s">
        <v>30</v>
      </c>
      <c r="L355" s="8" t="s">
        <v>30</v>
      </c>
      <c r="M355" s="8" t="s">
        <v>30</v>
      </c>
      <c r="N355" s="8" t="s">
        <v>30</v>
      </c>
      <c r="O355" s="8" t="s">
        <v>30</v>
      </c>
      <c r="P355" s="8" t="s">
        <v>30</v>
      </c>
      <c r="Q355" s="8" t="s">
        <v>30</v>
      </c>
      <c r="R355" s="8" t="s">
        <v>30</v>
      </c>
      <c r="S355" s="8" t="s">
        <v>30</v>
      </c>
      <c r="T355" s="8" t="s">
        <v>30</v>
      </c>
      <c r="U355" s="8" t="s">
        <v>30</v>
      </c>
      <c r="V355" s="8" t="s">
        <v>30</v>
      </c>
      <c r="W355" s="8" t="s">
        <v>30</v>
      </c>
      <c r="X355" s="8" t="s">
        <v>30</v>
      </c>
      <c r="Y355" s="8" t="s">
        <v>30</v>
      </c>
      <c r="Z355" s="8" t="s">
        <v>30</v>
      </c>
      <c r="AA355" s="8" t="s">
        <v>30</v>
      </c>
    </row>
    <row r="356" spans="1:27" s="5" customFormat="1" x14ac:dyDescent="0.2">
      <c r="A356" s="5" t="s">
        <v>83</v>
      </c>
      <c r="B356" s="190" t="s">
        <v>69</v>
      </c>
      <c r="C356" s="15" t="s">
        <v>2</v>
      </c>
      <c r="D356" s="5">
        <v>22976066</v>
      </c>
      <c r="E356" s="39">
        <v>2319910</v>
      </c>
      <c r="F356" s="39">
        <v>104975</v>
      </c>
      <c r="G356" s="6">
        <v>5525</v>
      </c>
      <c r="H356" s="6">
        <v>4796</v>
      </c>
      <c r="I356" s="6">
        <v>4780</v>
      </c>
      <c r="J356" s="6">
        <v>4761</v>
      </c>
      <c r="K356" s="6">
        <v>4721</v>
      </c>
      <c r="L356" s="6">
        <v>5007</v>
      </c>
      <c r="M356" s="6">
        <v>5257</v>
      </c>
      <c r="N356" s="6">
        <v>4515</v>
      </c>
      <c r="O356" s="6">
        <v>5411</v>
      </c>
      <c r="P356" s="6">
        <v>5257</v>
      </c>
      <c r="Q356" s="6">
        <v>4906</v>
      </c>
      <c r="R356" s="6">
        <v>5713</v>
      </c>
      <c r="S356" s="6">
        <v>4969</v>
      </c>
      <c r="T356" s="6">
        <v>5160</v>
      </c>
      <c r="U356" s="6">
        <v>5061</v>
      </c>
      <c r="V356" s="6">
        <v>5119</v>
      </c>
      <c r="W356" s="6">
        <v>4732</v>
      </c>
      <c r="X356" s="6">
        <v>4433</v>
      </c>
      <c r="Y356" s="6">
        <v>5201</v>
      </c>
      <c r="Z356" s="6">
        <v>5198</v>
      </c>
      <c r="AA356" s="6">
        <v>4453</v>
      </c>
    </row>
    <row r="357" spans="1:27" s="5" customFormat="1" x14ac:dyDescent="0.2">
      <c r="B357" s="191"/>
      <c r="C357" s="15" t="s">
        <v>3</v>
      </c>
      <c r="D357" s="44">
        <v>100</v>
      </c>
      <c r="E357" s="39">
        <v>100</v>
      </c>
      <c r="F357" s="39">
        <v>100</v>
      </c>
      <c r="G357" s="7">
        <v>100</v>
      </c>
      <c r="H357" s="7">
        <v>100</v>
      </c>
      <c r="I357" s="7">
        <v>100</v>
      </c>
      <c r="J357" s="7">
        <v>100</v>
      </c>
      <c r="K357" s="7">
        <v>100</v>
      </c>
      <c r="L357" s="7">
        <v>100</v>
      </c>
      <c r="M357" s="7">
        <v>100</v>
      </c>
      <c r="N357" s="7">
        <v>100</v>
      </c>
      <c r="O357" s="7">
        <v>100</v>
      </c>
      <c r="P357" s="7">
        <v>100</v>
      </c>
      <c r="Q357" s="7">
        <v>100</v>
      </c>
      <c r="R357" s="7">
        <v>100</v>
      </c>
      <c r="S357" s="7">
        <v>100</v>
      </c>
      <c r="T357" s="7">
        <v>100</v>
      </c>
      <c r="U357" s="7">
        <v>100</v>
      </c>
      <c r="V357" s="7">
        <v>100</v>
      </c>
      <c r="W357" s="7">
        <v>100</v>
      </c>
      <c r="X357" s="7">
        <v>100</v>
      </c>
      <c r="Y357" s="7">
        <v>100</v>
      </c>
      <c r="Z357" s="7">
        <v>100</v>
      </c>
      <c r="AA357" s="7">
        <v>100</v>
      </c>
    </row>
    <row r="358" spans="1:27" s="5" customFormat="1" x14ac:dyDescent="0.2">
      <c r="B358" s="190" t="s">
        <v>70</v>
      </c>
      <c r="C358" s="15" t="s">
        <v>2</v>
      </c>
      <c r="D358" s="5">
        <v>22955448</v>
      </c>
      <c r="E358" s="39">
        <v>2318516</v>
      </c>
      <c r="F358" s="39">
        <v>104926</v>
      </c>
      <c r="G358" s="6">
        <v>5503</v>
      </c>
      <c r="H358" s="6">
        <v>4795</v>
      </c>
      <c r="I358" s="6">
        <v>4779</v>
      </c>
      <c r="J358" s="6">
        <v>4761</v>
      </c>
      <c r="K358" s="6">
        <v>4721</v>
      </c>
      <c r="L358" s="6">
        <v>5007</v>
      </c>
      <c r="M358" s="6">
        <v>5257</v>
      </c>
      <c r="N358" s="6">
        <v>4515</v>
      </c>
      <c r="O358" s="6">
        <v>5410</v>
      </c>
      <c r="P358" s="6">
        <v>5253</v>
      </c>
      <c r="Q358" s="6">
        <v>4906</v>
      </c>
      <c r="R358" s="6">
        <v>5713</v>
      </c>
      <c r="S358" s="6">
        <v>4960</v>
      </c>
      <c r="T358" s="6">
        <v>5160</v>
      </c>
      <c r="U358" s="6">
        <v>5060</v>
      </c>
      <c r="V358" s="6">
        <v>5117</v>
      </c>
      <c r="W358" s="6">
        <v>4732</v>
      </c>
      <c r="X358" s="6">
        <v>4433</v>
      </c>
      <c r="Y358" s="6">
        <v>5201</v>
      </c>
      <c r="Z358" s="6">
        <v>5193</v>
      </c>
      <c r="AA358" s="6">
        <v>4450</v>
      </c>
    </row>
    <row r="359" spans="1:27" s="5" customFormat="1" x14ac:dyDescent="0.2">
      <c r="B359" s="191"/>
      <c r="C359" s="15" t="s">
        <v>3</v>
      </c>
      <c r="D359" s="44">
        <v>99.9</v>
      </c>
      <c r="E359" s="39">
        <v>99.9</v>
      </c>
      <c r="F359" s="39">
        <v>100</v>
      </c>
      <c r="G359" s="7">
        <v>99.6</v>
      </c>
      <c r="H359" s="7">
        <v>100</v>
      </c>
      <c r="I359" s="7">
        <v>100</v>
      </c>
      <c r="J359" s="7">
        <v>100</v>
      </c>
      <c r="K359" s="7">
        <v>100</v>
      </c>
      <c r="L359" s="7">
        <v>100</v>
      </c>
      <c r="M359" s="7">
        <v>100</v>
      </c>
      <c r="N359" s="7">
        <v>100</v>
      </c>
      <c r="O359" s="7">
        <v>100</v>
      </c>
      <c r="P359" s="7">
        <v>99.9</v>
      </c>
      <c r="Q359" s="7">
        <v>100</v>
      </c>
      <c r="R359" s="7">
        <v>100</v>
      </c>
      <c r="S359" s="7">
        <v>99.8</v>
      </c>
      <c r="T359" s="7">
        <v>100</v>
      </c>
      <c r="U359" s="7">
        <v>100</v>
      </c>
      <c r="V359" s="7">
        <v>100</v>
      </c>
      <c r="W359" s="7">
        <v>100</v>
      </c>
      <c r="X359" s="7">
        <v>100</v>
      </c>
      <c r="Y359" s="7">
        <v>100</v>
      </c>
      <c r="Z359" s="7">
        <v>99.9</v>
      </c>
      <c r="AA359" s="7">
        <v>99.9</v>
      </c>
    </row>
    <row r="360" spans="1:27" s="5" customFormat="1" x14ac:dyDescent="0.2">
      <c r="B360" s="190" t="s">
        <v>71</v>
      </c>
      <c r="C360" s="15" t="s">
        <v>2</v>
      </c>
      <c r="D360" s="5">
        <v>6700</v>
      </c>
      <c r="E360" s="39">
        <v>410</v>
      </c>
      <c r="F360" s="39">
        <v>11</v>
      </c>
      <c r="G360" s="6">
        <v>5</v>
      </c>
      <c r="H360" s="6">
        <v>0</v>
      </c>
      <c r="I360" s="6">
        <v>0</v>
      </c>
      <c r="J360" s="6">
        <v>0</v>
      </c>
      <c r="K360" s="6">
        <v>0</v>
      </c>
      <c r="L360" s="6">
        <v>0</v>
      </c>
      <c r="M360" s="6">
        <v>0</v>
      </c>
      <c r="N360" s="6">
        <v>0</v>
      </c>
      <c r="O360" s="6">
        <v>1</v>
      </c>
      <c r="P360" s="6">
        <v>1</v>
      </c>
      <c r="Q360" s="6">
        <v>0</v>
      </c>
      <c r="R360" s="6">
        <v>0</v>
      </c>
      <c r="S360" s="6">
        <v>3</v>
      </c>
      <c r="T360" s="6">
        <v>0</v>
      </c>
      <c r="U360" s="6">
        <v>0</v>
      </c>
      <c r="V360" s="6">
        <v>0</v>
      </c>
      <c r="W360" s="6">
        <v>0</v>
      </c>
      <c r="X360" s="6">
        <v>0</v>
      </c>
      <c r="Y360" s="6">
        <v>0</v>
      </c>
      <c r="Z360" s="6">
        <v>1</v>
      </c>
      <c r="AA360" s="6">
        <v>0</v>
      </c>
    </row>
    <row r="361" spans="1:27" s="5" customFormat="1" x14ac:dyDescent="0.2">
      <c r="B361" s="191"/>
      <c r="C361" s="15" t="s">
        <v>3</v>
      </c>
      <c r="D361" s="44">
        <v>0</v>
      </c>
      <c r="E361" s="39">
        <v>0</v>
      </c>
      <c r="F361" s="39">
        <v>0</v>
      </c>
      <c r="G361" s="7">
        <v>0.1</v>
      </c>
      <c r="H361" s="7">
        <v>0</v>
      </c>
      <c r="I361" s="7">
        <v>0</v>
      </c>
      <c r="J361" s="7">
        <v>0</v>
      </c>
      <c r="K361" s="7">
        <v>0</v>
      </c>
      <c r="L361" s="7">
        <v>0</v>
      </c>
      <c r="M361" s="7">
        <v>0</v>
      </c>
      <c r="N361" s="7">
        <v>0</v>
      </c>
      <c r="O361" s="7">
        <v>0</v>
      </c>
      <c r="P361" s="7">
        <v>0</v>
      </c>
      <c r="Q361" s="7">
        <v>0</v>
      </c>
      <c r="R361" s="7">
        <v>0</v>
      </c>
      <c r="S361" s="7">
        <v>0.1</v>
      </c>
      <c r="T361" s="7">
        <v>0</v>
      </c>
      <c r="U361" s="7">
        <v>0</v>
      </c>
      <c r="V361" s="7">
        <v>0</v>
      </c>
      <c r="W361" s="7">
        <v>0</v>
      </c>
      <c r="X361" s="7">
        <v>0</v>
      </c>
      <c r="Y361" s="7">
        <v>0</v>
      </c>
      <c r="Z361" s="7">
        <v>0</v>
      </c>
      <c r="AA361" s="7">
        <v>0</v>
      </c>
    </row>
    <row r="362" spans="1:27" s="5" customFormat="1" x14ac:dyDescent="0.2">
      <c r="B362" s="190" t="s">
        <v>72</v>
      </c>
      <c r="C362" s="15" t="s">
        <v>2</v>
      </c>
      <c r="D362" s="5">
        <v>13918</v>
      </c>
      <c r="E362" s="39">
        <v>984</v>
      </c>
      <c r="F362" s="39">
        <v>38</v>
      </c>
      <c r="G362" s="6">
        <v>17</v>
      </c>
      <c r="H362" s="6">
        <v>1</v>
      </c>
      <c r="I362" s="6">
        <v>1</v>
      </c>
      <c r="J362" s="6">
        <v>0</v>
      </c>
      <c r="K362" s="6">
        <v>0</v>
      </c>
      <c r="L362" s="6">
        <v>0</v>
      </c>
      <c r="M362" s="6">
        <v>0</v>
      </c>
      <c r="N362" s="6">
        <v>0</v>
      </c>
      <c r="O362" s="6">
        <v>0</v>
      </c>
      <c r="P362" s="6">
        <v>3</v>
      </c>
      <c r="Q362" s="6">
        <v>0</v>
      </c>
      <c r="R362" s="6">
        <v>0</v>
      </c>
      <c r="S362" s="6">
        <v>6</v>
      </c>
      <c r="T362" s="6">
        <v>0</v>
      </c>
      <c r="U362" s="6">
        <v>1</v>
      </c>
      <c r="V362" s="6">
        <v>2</v>
      </c>
      <c r="W362" s="6">
        <v>0</v>
      </c>
      <c r="X362" s="6">
        <v>0</v>
      </c>
      <c r="Y362" s="6">
        <v>0</v>
      </c>
      <c r="Z362" s="6">
        <v>4</v>
      </c>
      <c r="AA362" s="6">
        <v>3</v>
      </c>
    </row>
    <row r="363" spans="1:27" s="5" customFormat="1" x14ac:dyDescent="0.2">
      <c r="B363" s="191"/>
      <c r="C363" s="15" t="s">
        <v>3</v>
      </c>
      <c r="D363" s="44">
        <v>0.1</v>
      </c>
      <c r="E363" s="39">
        <v>0</v>
      </c>
      <c r="F363" s="39">
        <v>0</v>
      </c>
      <c r="G363" s="7">
        <v>0.3</v>
      </c>
      <c r="H363" s="7">
        <v>0</v>
      </c>
      <c r="I363" s="7">
        <v>0</v>
      </c>
      <c r="J363" s="7">
        <v>0</v>
      </c>
      <c r="K363" s="7">
        <v>0</v>
      </c>
      <c r="L363" s="7">
        <v>0</v>
      </c>
      <c r="M363" s="7">
        <v>0</v>
      </c>
      <c r="N363" s="7">
        <v>0</v>
      </c>
      <c r="O363" s="7">
        <v>0</v>
      </c>
      <c r="P363" s="7">
        <v>0.1</v>
      </c>
      <c r="Q363" s="7">
        <v>0</v>
      </c>
      <c r="R363" s="7">
        <v>0</v>
      </c>
      <c r="S363" s="7">
        <v>0.1</v>
      </c>
      <c r="T363" s="7">
        <v>0</v>
      </c>
      <c r="U363" s="7">
        <v>0</v>
      </c>
      <c r="V363" s="7">
        <v>0</v>
      </c>
      <c r="W363" s="7">
        <v>0</v>
      </c>
      <c r="X363" s="7">
        <v>0</v>
      </c>
      <c r="Y363" s="7">
        <v>0</v>
      </c>
      <c r="Z363" s="7">
        <v>0.1</v>
      </c>
      <c r="AA363" s="7">
        <v>0.1</v>
      </c>
    </row>
    <row r="364" spans="1:27" s="5" customFormat="1" x14ac:dyDescent="0.2">
      <c r="B364" s="190" t="s">
        <v>73</v>
      </c>
      <c r="C364" s="15" t="s">
        <v>2</v>
      </c>
      <c r="D364" s="5">
        <v>23044097</v>
      </c>
      <c r="E364" s="39">
        <v>2324385</v>
      </c>
      <c r="F364" s="39">
        <v>105123</v>
      </c>
      <c r="G364" s="6">
        <v>5589</v>
      </c>
      <c r="H364" s="6">
        <v>4801</v>
      </c>
      <c r="I364" s="6">
        <v>4787</v>
      </c>
      <c r="J364" s="6">
        <v>4761</v>
      </c>
      <c r="K364" s="6">
        <v>4721</v>
      </c>
      <c r="L364" s="6">
        <v>5007</v>
      </c>
      <c r="M364" s="6">
        <v>5257</v>
      </c>
      <c r="N364" s="6">
        <v>4515</v>
      </c>
      <c r="O364" s="6">
        <v>5412</v>
      </c>
      <c r="P364" s="6">
        <v>5268</v>
      </c>
      <c r="Q364" s="6">
        <v>4906</v>
      </c>
      <c r="R364" s="6">
        <v>5713</v>
      </c>
      <c r="S364" s="6">
        <v>4997</v>
      </c>
      <c r="T364" s="6">
        <v>5160</v>
      </c>
      <c r="U364" s="6">
        <v>5063</v>
      </c>
      <c r="V364" s="6">
        <v>5126</v>
      </c>
      <c r="W364" s="6">
        <v>4732</v>
      </c>
      <c r="X364" s="6">
        <v>4433</v>
      </c>
      <c r="Y364" s="6">
        <v>5201</v>
      </c>
      <c r="Z364" s="6">
        <v>5211</v>
      </c>
      <c r="AA364" s="6">
        <v>4463</v>
      </c>
    </row>
    <row r="365" spans="1:27" s="5" customFormat="1" x14ac:dyDescent="0.2">
      <c r="B365" s="191"/>
      <c r="C365" s="15" t="s">
        <v>3</v>
      </c>
      <c r="D365" s="44">
        <v>100</v>
      </c>
      <c r="E365" s="39">
        <v>100</v>
      </c>
      <c r="F365" s="39">
        <v>100</v>
      </c>
      <c r="G365" s="7">
        <v>100</v>
      </c>
      <c r="H365" s="7">
        <v>100</v>
      </c>
      <c r="I365" s="7">
        <v>100</v>
      </c>
      <c r="J365" s="7">
        <v>100</v>
      </c>
      <c r="K365" s="7">
        <v>100</v>
      </c>
      <c r="L365" s="7">
        <v>100</v>
      </c>
      <c r="M365" s="7">
        <v>100</v>
      </c>
      <c r="N365" s="7">
        <v>100</v>
      </c>
      <c r="O365" s="7">
        <v>100</v>
      </c>
      <c r="P365" s="7">
        <v>100</v>
      </c>
      <c r="Q365" s="7">
        <v>100</v>
      </c>
      <c r="R365" s="7">
        <v>100</v>
      </c>
      <c r="S365" s="7">
        <v>100</v>
      </c>
      <c r="T365" s="7">
        <v>100</v>
      </c>
      <c r="U365" s="7">
        <v>100</v>
      </c>
      <c r="V365" s="7">
        <v>100</v>
      </c>
      <c r="W365" s="7">
        <v>100</v>
      </c>
      <c r="X365" s="7">
        <v>100</v>
      </c>
      <c r="Y365" s="7">
        <v>100</v>
      </c>
      <c r="Z365" s="7">
        <v>100</v>
      </c>
      <c r="AA365" s="7">
        <v>100</v>
      </c>
    </row>
    <row r="366" spans="1:27" s="5" customFormat="1" x14ac:dyDescent="0.2">
      <c r="B366" s="190" t="s">
        <v>74</v>
      </c>
      <c r="C366" s="15" t="s">
        <v>2</v>
      </c>
      <c r="D366" s="5">
        <v>22063368</v>
      </c>
      <c r="E366" s="39">
        <v>2224059</v>
      </c>
      <c r="F366" s="39">
        <v>100734</v>
      </c>
      <c r="G366" s="6">
        <v>5248</v>
      </c>
      <c r="H366" s="6">
        <v>4620</v>
      </c>
      <c r="I366" s="6">
        <v>4577</v>
      </c>
      <c r="J366" s="6">
        <v>4595</v>
      </c>
      <c r="K366" s="6">
        <v>4590</v>
      </c>
      <c r="L366" s="6">
        <v>4666</v>
      </c>
      <c r="M366" s="6">
        <v>4957</v>
      </c>
      <c r="N366" s="6">
        <v>4378</v>
      </c>
      <c r="O366" s="6">
        <v>5112</v>
      </c>
      <c r="P366" s="6">
        <v>4982</v>
      </c>
      <c r="Q366" s="6">
        <v>4725</v>
      </c>
      <c r="R366" s="6">
        <v>5511</v>
      </c>
      <c r="S366" s="6">
        <v>4798</v>
      </c>
      <c r="T366" s="6">
        <v>4953</v>
      </c>
      <c r="U366" s="6">
        <v>4878</v>
      </c>
      <c r="V366" s="6">
        <v>4920</v>
      </c>
      <c r="W366" s="6">
        <v>4583</v>
      </c>
      <c r="X366" s="6">
        <v>4350</v>
      </c>
      <c r="Y366" s="6">
        <v>5024</v>
      </c>
      <c r="Z366" s="6">
        <v>4965</v>
      </c>
      <c r="AA366" s="6">
        <v>4302</v>
      </c>
    </row>
    <row r="367" spans="1:27" s="5" customFormat="1" x14ac:dyDescent="0.2">
      <c r="B367" s="191"/>
      <c r="C367" s="15" t="s">
        <v>3</v>
      </c>
      <c r="D367" s="44">
        <v>95.7</v>
      </c>
      <c r="E367" s="39">
        <v>95.7</v>
      </c>
      <c r="F367" s="39">
        <v>95.8</v>
      </c>
      <c r="G367" s="7">
        <v>93.9</v>
      </c>
      <c r="H367" s="7">
        <v>96.2</v>
      </c>
      <c r="I367" s="7">
        <v>95.6</v>
      </c>
      <c r="J367" s="7">
        <v>96.5</v>
      </c>
      <c r="K367" s="7">
        <v>97.2</v>
      </c>
      <c r="L367" s="7">
        <v>93.2</v>
      </c>
      <c r="M367" s="7">
        <v>94.3</v>
      </c>
      <c r="N367" s="7">
        <v>97</v>
      </c>
      <c r="O367" s="7">
        <v>94.5</v>
      </c>
      <c r="P367" s="7">
        <v>94.6</v>
      </c>
      <c r="Q367" s="7">
        <v>96.3</v>
      </c>
      <c r="R367" s="7">
        <v>96.5</v>
      </c>
      <c r="S367" s="7">
        <v>96</v>
      </c>
      <c r="T367" s="7">
        <v>96</v>
      </c>
      <c r="U367" s="7">
        <v>96.3</v>
      </c>
      <c r="V367" s="7">
        <v>96</v>
      </c>
      <c r="W367" s="7">
        <v>96.9</v>
      </c>
      <c r="X367" s="7">
        <v>98.1</v>
      </c>
      <c r="Y367" s="7">
        <v>96.6</v>
      </c>
      <c r="Z367" s="7">
        <v>95.3</v>
      </c>
      <c r="AA367" s="7">
        <v>96.4</v>
      </c>
    </row>
    <row r="368" spans="1:27" s="5" customFormat="1" x14ac:dyDescent="0.2">
      <c r="B368" s="190" t="s">
        <v>75</v>
      </c>
      <c r="C368" s="15" t="s">
        <v>2</v>
      </c>
      <c r="D368" s="5">
        <v>980729</v>
      </c>
      <c r="E368" s="39">
        <v>100326</v>
      </c>
      <c r="F368" s="39">
        <v>4389</v>
      </c>
      <c r="G368" s="6">
        <v>341</v>
      </c>
      <c r="H368" s="6">
        <v>181</v>
      </c>
      <c r="I368" s="6">
        <v>210</v>
      </c>
      <c r="J368" s="6">
        <v>166</v>
      </c>
      <c r="K368" s="6">
        <v>131</v>
      </c>
      <c r="L368" s="6">
        <v>341</v>
      </c>
      <c r="M368" s="6">
        <v>300</v>
      </c>
      <c r="N368" s="6">
        <v>137</v>
      </c>
      <c r="O368" s="6">
        <v>300</v>
      </c>
      <c r="P368" s="6">
        <v>286</v>
      </c>
      <c r="Q368" s="6">
        <v>181</v>
      </c>
      <c r="R368" s="6">
        <v>202</v>
      </c>
      <c r="S368" s="6">
        <v>199</v>
      </c>
      <c r="T368" s="6">
        <v>207</v>
      </c>
      <c r="U368" s="6">
        <v>185</v>
      </c>
      <c r="V368" s="6">
        <v>206</v>
      </c>
      <c r="W368" s="6">
        <v>149</v>
      </c>
      <c r="X368" s="6">
        <v>83</v>
      </c>
      <c r="Y368" s="6">
        <v>177</v>
      </c>
      <c r="Z368" s="6">
        <v>246</v>
      </c>
      <c r="AA368" s="6">
        <v>161</v>
      </c>
    </row>
    <row r="369" spans="1:27" s="5" customFormat="1" x14ac:dyDescent="0.2">
      <c r="B369" s="191"/>
      <c r="C369" s="15" t="s">
        <v>3</v>
      </c>
      <c r="D369" s="44">
        <v>4.3</v>
      </c>
      <c r="E369" s="39">
        <v>4.3</v>
      </c>
      <c r="F369" s="39">
        <v>4.2</v>
      </c>
      <c r="G369" s="7">
        <v>6.1</v>
      </c>
      <c r="H369" s="7">
        <v>3.8</v>
      </c>
      <c r="I369" s="7">
        <v>4.4000000000000004</v>
      </c>
      <c r="J369" s="7">
        <v>3.5</v>
      </c>
      <c r="K369" s="7">
        <v>2.8</v>
      </c>
      <c r="L369" s="7">
        <v>6.8</v>
      </c>
      <c r="M369" s="7">
        <v>5.7</v>
      </c>
      <c r="N369" s="7">
        <v>3</v>
      </c>
      <c r="O369" s="7">
        <v>5.5</v>
      </c>
      <c r="P369" s="7">
        <v>5.4</v>
      </c>
      <c r="Q369" s="7">
        <v>3.7</v>
      </c>
      <c r="R369" s="7">
        <v>3.5</v>
      </c>
      <c r="S369" s="7">
        <v>4</v>
      </c>
      <c r="T369" s="7">
        <v>4</v>
      </c>
      <c r="U369" s="7">
        <v>3.7</v>
      </c>
      <c r="V369" s="7">
        <v>4</v>
      </c>
      <c r="W369" s="7">
        <v>3.1</v>
      </c>
      <c r="X369" s="7">
        <v>1.9</v>
      </c>
      <c r="Y369" s="7">
        <v>3.4</v>
      </c>
      <c r="Z369" s="7">
        <v>4.7</v>
      </c>
      <c r="AA369" s="7">
        <v>3.6</v>
      </c>
    </row>
    <row r="370" spans="1:27" s="5" customFormat="1" x14ac:dyDescent="0.2">
      <c r="B370" s="190" t="s">
        <v>76</v>
      </c>
      <c r="C370" s="15" t="s">
        <v>2</v>
      </c>
      <c r="D370" s="5">
        <v>5128552</v>
      </c>
      <c r="E370" s="39">
        <v>477309</v>
      </c>
      <c r="F370" s="39">
        <v>23187</v>
      </c>
      <c r="G370" s="6">
        <v>559</v>
      </c>
      <c r="H370" s="6">
        <v>962</v>
      </c>
      <c r="I370" s="6">
        <v>1110</v>
      </c>
      <c r="J370" s="6">
        <v>1610</v>
      </c>
      <c r="K370" s="6">
        <v>1541</v>
      </c>
      <c r="L370" s="6">
        <v>550</v>
      </c>
      <c r="M370" s="6">
        <v>875</v>
      </c>
      <c r="N370" s="6">
        <v>1658</v>
      </c>
      <c r="O370" s="6">
        <v>1144</v>
      </c>
      <c r="P370" s="6">
        <v>252</v>
      </c>
      <c r="Q370" s="6">
        <v>957</v>
      </c>
      <c r="R370" s="6">
        <v>1218</v>
      </c>
      <c r="S370" s="6">
        <v>931</v>
      </c>
      <c r="T370" s="6">
        <v>2663</v>
      </c>
      <c r="U370" s="6">
        <v>1674</v>
      </c>
      <c r="V370" s="6">
        <v>1257</v>
      </c>
      <c r="W370" s="6">
        <v>1348</v>
      </c>
      <c r="X370" s="6">
        <v>378</v>
      </c>
      <c r="Y370" s="6">
        <v>802</v>
      </c>
      <c r="Z370" s="6">
        <v>750</v>
      </c>
      <c r="AA370" s="6">
        <v>948</v>
      </c>
    </row>
    <row r="371" spans="1:27" s="5" customFormat="1" x14ac:dyDescent="0.2">
      <c r="B371" s="191"/>
      <c r="C371" s="15" t="s">
        <v>3</v>
      </c>
      <c r="D371" s="44">
        <v>22.3</v>
      </c>
      <c r="E371" s="39">
        <v>20.5</v>
      </c>
      <c r="F371" s="39">
        <v>22.1</v>
      </c>
      <c r="G371" s="7">
        <v>10</v>
      </c>
      <c r="H371" s="7">
        <v>20</v>
      </c>
      <c r="I371" s="7">
        <v>23.2</v>
      </c>
      <c r="J371" s="7">
        <v>33.799999999999997</v>
      </c>
      <c r="K371" s="7">
        <v>32.6</v>
      </c>
      <c r="L371" s="7">
        <v>11</v>
      </c>
      <c r="M371" s="7">
        <v>16.600000000000001</v>
      </c>
      <c r="N371" s="7">
        <v>36.700000000000003</v>
      </c>
      <c r="O371" s="7">
        <v>21.1</v>
      </c>
      <c r="P371" s="7">
        <v>4.8</v>
      </c>
      <c r="Q371" s="7">
        <v>19.5</v>
      </c>
      <c r="R371" s="7">
        <v>21.3</v>
      </c>
      <c r="S371" s="7">
        <v>18.600000000000001</v>
      </c>
      <c r="T371" s="7">
        <v>51.6</v>
      </c>
      <c r="U371" s="7">
        <v>33.1</v>
      </c>
      <c r="V371" s="7">
        <v>24.5</v>
      </c>
      <c r="W371" s="7">
        <v>28.5</v>
      </c>
      <c r="X371" s="7">
        <v>8.5</v>
      </c>
      <c r="Y371" s="7">
        <v>15.4</v>
      </c>
      <c r="Z371" s="7">
        <v>14.4</v>
      </c>
      <c r="AA371" s="7">
        <v>21.2</v>
      </c>
    </row>
    <row r="372" spans="1:27" s="5" customFormat="1" x14ac:dyDescent="0.2">
      <c r="B372" s="190" t="s">
        <v>77</v>
      </c>
      <c r="C372" s="15" t="s">
        <v>2</v>
      </c>
      <c r="D372" s="5">
        <v>7076395</v>
      </c>
      <c r="E372" s="39">
        <v>849261</v>
      </c>
      <c r="F372" s="39">
        <v>47159</v>
      </c>
      <c r="G372" s="6">
        <v>1372</v>
      </c>
      <c r="H372" s="6">
        <v>2129</v>
      </c>
      <c r="I372" s="6">
        <v>2252</v>
      </c>
      <c r="J372" s="6">
        <v>1852</v>
      </c>
      <c r="K372" s="6">
        <v>2372</v>
      </c>
      <c r="L372" s="6">
        <v>2422</v>
      </c>
      <c r="M372" s="6">
        <v>2431</v>
      </c>
      <c r="N372" s="6">
        <v>1949</v>
      </c>
      <c r="O372" s="6">
        <v>2669</v>
      </c>
      <c r="P372" s="6">
        <v>1219</v>
      </c>
      <c r="Q372" s="6">
        <v>3075</v>
      </c>
      <c r="R372" s="6">
        <v>2976</v>
      </c>
      <c r="S372" s="6">
        <v>1727</v>
      </c>
      <c r="T372" s="6">
        <v>1497</v>
      </c>
      <c r="U372" s="6">
        <v>1801</v>
      </c>
      <c r="V372" s="6">
        <v>1984</v>
      </c>
      <c r="W372" s="6">
        <v>2155</v>
      </c>
      <c r="X372" s="6">
        <v>3374</v>
      </c>
      <c r="Y372" s="6">
        <v>2906</v>
      </c>
      <c r="Z372" s="6">
        <v>2551</v>
      </c>
      <c r="AA372" s="6">
        <v>2446</v>
      </c>
    </row>
    <row r="373" spans="1:27" s="5" customFormat="1" x14ac:dyDescent="0.2">
      <c r="B373" s="191"/>
      <c r="C373" s="15" t="s">
        <v>3</v>
      </c>
      <c r="D373" s="44">
        <v>30.7</v>
      </c>
      <c r="E373" s="39">
        <v>36.5</v>
      </c>
      <c r="F373" s="39">
        <v>44.9</v>
      </c>
      <c r="G373" s="7">
        <v>24.5</v>
      </c>
      <c r="H373" s="7">
        <v>44.3</v>
      </c>
      <c r="I373" s="7">
        <v>47</v>
      </c>
      <c r="J373" s="7">
        <v>38.9</v>
      </c>
      <c r="K373" s="7">
        <v>50.2</v>
      </c>
      <c r="L373" s="7">
        <v>48.4</v>
      </c>
      <c r="M373" s="7">
        <v>46.2</v>
      </c>
      <c r="N373" s="7">
        <v>43.2</v>
      </c>
      <c r="O373" s="7">
        <v>49.3</v>
      </c>
      <c r="P373" s="7">
        <v>23.1</v>
      </c>
      <c r="Q373" s="7">
        <v>62.7</v>
      </c>
      <c r="R373" s="7">
        <v>52.1</v>
      </c>
      <c r="S373" s="7">
        <v>34.6</v>
      </c>
      <c r="T373" s="7">
        <v>29</v>
      </c>
      <c r="U373" s="7">
        <v>35.6</v>
      </c>
      <c r="V373" s="7">
        <v>38.700000000000003</v>
      </c>
      <c r="W373" s="7">
        <v>45.5</v>
      </c>
      <c r="X373" s="7">
        <v>76.099999999999994</v>
      </c>
      <c r="Y373" s="7">
        <v>55.9</v>
      </c>
      <c r="Z373" s="7">
        <v>49</v>
      </c>
      <c r="AA373" s="7">
        <v>54.8</v>
      </c>
    </row>
    <row r="374" spans="1:27" s="5" customFormat="1" x14ac:dyDescent="0.2">
      <c r="B374" s="190" t="s">
        <v>78</v>
      </c>
      <c r="C374" s="15" t="s">
        <v>2</v>
      </c>
      <c r="D374" s="5">
        <v>5642969</v>
      </c>
      <c r="E374" s="39">
        <v>643879</v>
      </c>
      <c r="F374" s="39">
        <v>26317</v>
      </c>
      <c r="G374" s="6">
        <v>2402</v>
      </c>
      <c r="H374" s="6">
        <v>1362</v>
      </c>
      <c r="I374" s="6">
        <v>1143</v>
      </c>
      <c r="J374" s="6">
        <v>982</v>
      </c>
      <c r="K374" s="6">
        <v>599</v>
      </c>
      <c r="L374" s="6">
        <v>1661</v>
      </c>
      <c r="M374" s="6">
        <v>1662</v>
      </c>
      <c r="N374" s="6">
        <v>540</v>
      </c>
      <c r="O374" s="6">
        <v>1239</v>
      </c>
      <c r="P374" s="6">
        <v>2943</v>
      </c>
      <c r="Q374" s="6">
        <v>587</v>
      </c>
      <c r="R374" s="6">
        <v>1295</v>
      </c>
      <c r="S374" s="6">
        <v>1534</v>
      </c>
      <c r="T374" s="6">
        <v>869</v>
      </c>
      <c r="U374" s="6">
        <v>1321</v>
      </c>
      <c r="V374" s="6">
        <v>1642</v>
      </c>
      <c r="W374" s="6">
        <v>868</v>
      </c>
      <c r="X374" s="6">
        <v>398</v>
      </c>
      <c r="Y374" s="6">
        <v>1057</v>
      </c>
      <c r="Z374" s="6">
        <v>1605</v>
      </c>
      <c r="AA374" s="6">
        <v>608</v>
      </c>
    </row>
    <row r="375" spans="1:27" s="5" customFormat="1" x14ac:dyDescent="0.2">
      <c r="B375" s="191"/>
      <c r="C375" s="15" t="s">
        <v>3</v>
      </c>
      <c r="D375" s="44">
        <v>24.5</v>
      </c>
      <c r="E375" s="39">
        <v>27.7</v>
      </c>
      <c r="F375" s="39">
        <v>25</v>
      </c>
      <c r="G375" s="7">
        <v>43</v>
      </c>
      <c r="H375" s="7">
        <v>28.4</v>
      </c>
      <c r="I375" s="7">
        <v>23.9</v>
      </c>
      <c r="J375" s="7">
        <v>20.6</v>
      </c>
      <c r="K375" s="7">
        <v>12.7</v>
      </c>
      <c r="L375" s="7">
        <v>33.200000000000003</v>
      </c>
      <c r="M375" s="7">
        <v>31.6</v>
      </c>
      <c r="N375" s="7">
        <v>12</v>
      </c>
      <c r="O375" s="7">
        <v>22.9</v>
      </c>
      <c r="P375" s="7">
        <v>55.9</v>
      </c>
      <c r="Q375" s="7">
        <v>12</v>
      </c>
      <c r="R375" s="7">
        <v>22.7</v>
      </c>
      <c r="S375" s="7">
        <v>30.7</v>
      </c>
      <c r="T375" s="7">
        <v>16.8</v>
      </c>
      <c r="U375" s="7">
        <v>26.1</v>
      </c>
      <c r="V375" s="7">
        <v>32</v>
      </c>
      <c r="W375" s="7">
        <v>18.3</v>
      </c>
      <c r="X375" s="7">
        <v>9</v>
      </c>
      <c r="Y375" s="7">
        <v>20.3</v>
      </c>
      <c r="Z375" s="7">
        <v>30.8</v>
      </c>
      <c r="AA375" s="7">
        <v>13.6</v>
      </c>
    </row>
    <row r="376" spans="1:27" s="5" customFormat="1" x14ac:dyDescent="0.2">
      <c r="B376" s="190" t="s">
        <v>79</v>
      </c>
      <c r="C376" s="15" t="s">
        <v>2</v>
      </c>
      <c r="D376" s="5">
        <v>3854451</v>
      </c>
      <c r="E376" s="39">
        <v>275124</v>
      </c>
      <c r="F376" s="39">
        <v>6790</v>
      </c>
      <c r="G376" s="6">
        <v>976</v>
      </c>
      <c r="H376" s="6">
        <v>289</v>
      </c>
      <c r="I376" s="6">
        <v>206</v>
      </c>
      <c r="J376" s="6">
        <v>276</v>
      </c>
      <c r="K376" s="6">
        <v>169</v>
      </c>
      <c r="L376" s="6">
        <v>262</v>
      </c>
      <c r="M376" s="6">
        <v>238</v>
      </c>
      <c r="N376" s="6">
        <v>331</v>
      </c>
      <c r="O376" s="6">
        <v>295</v>
      </c>
      <c r="P376" s="6">
        <v>708</v>
      </c>
      <c r="Q376" s="6">
        <v>239</v>
      </c>
      <c r="R376" s="6">
        <v>183</v>
      </c>
      <c r="S376" s="6">
        <v>637</v>
      </c>
      <c r="T376" s="6">
        <v>77</v>
      </c>
      <c r="U376" s="6">
        <v>192</v>
      </c>
      <c r="V376" s="6">
        <v>179</v>
      </c>
      <c r="W376" s="6">
        <v>297</v>
      </c>
      <c r="X376" s="6">
        <v>264</v>
      </c>
      <c r="Y376" s="6">
        <v>385</v>
      </c>
      <c r="Z376" s="6">
        <v>222</v>
      </c>
      <c r="AA376" s="6">
        <v>365</v>
      </c>
    </row>
    <row r="377" spans="1:27" s="5" customFormat="1" x14ac:dyDescent="0.2">
      <c r="B377" s="191"/>
      <c r="C377" s="15" t="s">
        <v>3</v>
      </c>
      <c r="D377" s="44">
        <v>16.7</v>
      </c>
      <c r="E377" s="39">
        <v>11.8</v>
      </c>
      <c r="F377" s="39">
        <v>6.5</v>
      </c>
      <c r="G377" s="7">
        <v>17.5</v>
      </c>
      <c r="H377" s="7">
        <v>6</v>
      </c>
      <c r="I377" s="7">
        <v>4.3</v>
      </c>
      <c r="J377" s="7">
        <v>5.8</v>
      </c>
      <c r="K377" s="7">
        <v>3.6</v>
      </c>
      <c r="L377" s="7">
        <v>5.2</v>
      </c>
      <c r="M377" s="7">
        <v>4.5</v>
      </c>
      <c r="N377" s="7">
        <v>7.3</v>
      </c>
      <c r="O377" s="7">
        <v>5.5</v>
      </c>
      <c r="P377" s="7">
        <v>13.4</v>
      </c>
      <c r="Q377" s="7">
        <v>4.9000000000000004</v>
      </c>
      <c r="R377" s="7">
        <v>3.2</v>
      </c>
      <c r="S377" s="7">
        <v>12.7</v>
      </c>
      <c r="T377" s="7">
        <v>1.5</v>
      </c>
      <c r="U377" s="7">
        <v>3.8</v>
      </c>
      <c r="V377" s="7">
        <v>3.5</v>
      </c>
      <c r="W377" s="7">
        <v>6.3</v>
      </c>
      <c r="X377" s="7">
        <v>6</v>
      </c>
      <c r="Y377" s="7">
        <v>7.4</v>
      </c>
      <c r="Z377" s="7">
        <v>4.3</v>
      </c>
      <c r="AA377" s="7">
        <v>8.1999999999999993</v>
      </c>
    </row>
    <row r="378" spans="1:27" s="5" customFormat="1" x14ac:dyDescent="0.2">
      <c r="B378" s="190" t="s">
        <v>80</v>
      </c>
      <c r="C378" s="15" t="s">
        <v>2</v>
      </c>
      <c r="D378" s="5">
        <v>984284</v>
      </c>
      <c r="E378" s="39">
        <v>51591</v>
      </c>
      <c r="F378" s="39">
        <v>886</v>
      </c>
      <c r="G378" s="6">
        <v>203</v>
      </c>
      <c r="H378" s="6">
        <v>25</v>
      </c>
      <c r="I378" s="6">
        <v>32</v>
      </c>
      <c r="J378" s="6">
        <v>16</v>
      </c>
      <c r="K378" s="6">
        <v>9</v>
      </c>
      <c r="L378" s="6">
        <v>38</v>
      </c>
      <c r="M378" s="6">
        <v>19</v>
      </c>
      <c r="N378" s="6">
        <v>15</v>
      </c>
      <c r="O378" s="6">
        <v>22</v>
      </c>
      <c r="P378" s="6">
        <v>110</v>
      </c>
      <c r="Q378" s="6">
        <v>18</v>
      </c>
      <c r="R378" s="6">
        <v>13</v>
      </c>
      <c r="S378" s="6">
        <v>114</v>
      </c>
      <c r="T378" s="6">
        <v>32</v>
      </c>
      <c r="U378" s="6">
        <v>35</v>
      </c>
      <c r="V378" s="6">
        <v>24</v>
      </c>
      <c r="W378" s="6">
        <v>25</v>
      </c>
      <c r="X378" s="6">
        <v>1</v>
      </c>
      <c r="Y378" s="6">
        <v>17</v>
      </c>
      <c r="Z378" s="6">
        <v>48</v>
      </c>
      <c r="AA378" s="6">
        <v>70</v>
      </c>
    </row>
    <row r="379" spans="1:27" s="5" customFormat="1" x14ac:dyDescent="0.2">
      <c r="B379" s="191"/>
      <c r="C379" s="15" t="s">
        <v>3</v>
      </c>
      <c r="D379" s="44">
        <v>4.3</v>
      </c>
      <c r="E379" s="39">
        <v>2.2000000000000002</v>
      </c>
      <c r="F379" s="39">
        <v>0.8</v>
      </c>
      <c r="G379" s="7">
        <v>3.6</v>
      </c>
      <c r="H379" s="7">
        <v>0.5</v>
      </c>
      <c r="I379" s="7">
        <v>0.7</v>
      </c>
      <c r="J379" s="7">
        <v>0.3</v>
      </c>
      <c r="K379" s="7">
        <v>0.2</v>
      </c>
      <c r="L379" s="7">
        <v>0.8</v>
      </c>
      <c r="M379" s="7">
        <v>0.4</v>
      </c>
      <c r="N379" s="7">
        <v>0.3</v>
      </c>
      <c r="O379" s="7">
        <v>0.4</v>
      </c>
      <c r="P379" s="7">
        <v>2.1</v>
      </c>
      <c r="Q379" s="7">
        <v>0.4</v>
      </c>
      <c r="R379" s="7">
        <v>0.2</v>
      </c>
      <c r="S379" s="7">
        <v>2.2999999999999998</v>
      </c>
      <c r="T379" s="7">
        <v>0.6</v>
      </c>
      <c r="U379" s="7">
        <v>0.7</v>
      </c>
      <c r="V379" s="7">
        <v>0.5</v>
      </c>
      <c r="W379" s="7">
        <v>0.5</v>
      </c>
      <c r="X379" s="7">
        <v>0</v>
      </c>
      <c r="Y379" s="7">
        <v>0.3</v>
      </c>
      <c r="Z379" s="7">
        <v>0.9</v>
      </c>
      <c r="AA379" s="7">
        <v>1.6</v>
      </c>
    </row>
    <row r="380" spans="1:27" s="5" customFormat="1" x14ac:dyDescent="0.2">
      <c r="B380" s="190" t="s">
        <v>81</v>
      </c>
      <c r="C380" s="15" t="s">
        <v>2</v>
      </c>
      <c r="D380" s="5">
        <v>257218</v>
      </c>
      <c r="E380" s="39">
        <v>21743</v>
      </c>
      <c r="F380" s="39">
        <v>735</v>
      </c>
      <c r="G380" s="6">
        <v>76</v>
      </c>
      <c r="H380" s="6">
        <v>34</v>
      </c>
      <c r="I380" s="6">
        <v>36</v>
      </c>
      <c r="J380" s="6">
        <v>25</v>
      </c>
      <c r="K380" s="6">
        <v>30</v>
      </c>
      <c r="L380" s="6">
        <v>73</v>
      </c>
      <c r="M380" s="6">
        <v>30</v>
      </c>
      <c r="N380" s="6">
        <v>20</v>
      </c>
      <c r="O380" s="6">
        <v>42</v>
      </c>
      <c r="P380" s="6">
        <v>36</v>
      </c>
      <c r="Q380" s="6">
        <v>30</v>
      </c>
      <c r="R380" s="6">
        <v>25</v>
      </c>
      <c r="S380" s="6">
        <v>40</v>
      </c>
      <c r="T380" s="6">
        <v>19</v>
      </c>
      <c r="U380" s="6">
        <v>36</v>
      </c>
      <c r="V380" s="6">
        <v>38</v>
      </c>
      <c r="W380" s="6">
        <v>38</v>
      </c>
      <c r="X380" s="6">
        <v>16</v>
      </c>
      <c r="Y380" s="6">
        <v>34</v>
      </c>
      <c r="Z380" s="6">
        <v>32</v>
      </c>
      <c r="AA380" s="6">
        <v>25</v>
      </c>
    </row>
    <row r="381" spans="1:27" s="5" customFormat="1" x14ac:dyDescent="0.2">
      <c r="B381" s="191"/>
      <c r="C381" s="15" t="s">
        <v>3</v>
      </c>
      <c r="D381" s="44">
        <v>1.1000000000000001</v>
      </c>
      <c r="E381" s="39">
        <v>0.9</v>
      </c>
      <c r="F381" s="39">
        <v>0.7</v>
      </c>
      <c r="G381" s="7">
        <v>1.4</v>
      </c>
      <c r="H381" s="7">
        <v>0.7</v>
      </c>
      <c r="I381" s="7">
        <v>0.8</v>
      </c>
      <c r="J381" s="7">
        <v>0.5</v>
      </c>
      <c r="K381" s="7">
        <v>0.6</v>
      </c>
      <c r="L381" s="7">
        <v>1.5</v>
      </c>
      <c r="M381" s="7">
        <v>0.6</v>
      </c>
      <c r="N381" s="7">
        <v>0.4</v>
      </c>
      <c r="O381" s="7">
        <v>0.8</v>
      </c>
      <c r="P381" s="7">
        <v>0.7</v>
      </c>
      <c r="Q381" s="7">
        <v>0.6</v>
      </c>
      <c r="R381" s="7">
        <v>0.4</v>
      </c>
      <c r="S381" s="7">
        <v>0.8</v>
      </c>
      <c r="T381" s="7">
        <v>0.4</v>
      </c>
      <c r="U381" s="7">
        <v>0.7</v>
      </c>
      <c r="V381" s="7">
        <v>0.7</v>
      </c>
      <c r="W381" s="7">
        <v>0.8</v>
      </c>
      <c r="X381" s="7">
        <v>0.4</v>
      </c>
      <c r="Y381" s="7">
        <v>0.7</v>
      </c>
      <c r="Z381" s="7">
        <v>0.6</v>
      </c>
      <c r="AA381" s="7">
        <v>0.6</v>
      </c>
    </row>
    <row r="382" spans="1:27" s="5" customFormat="1" x14ac:dyDescent="0.2">
      <c r="B382" s="190" t="s">
        <v>82</v>
      </c>
      <c r="C382" s="15" t="s">
        <v>2</v>
      </c>
      <c r="D382" s="5">
        <v>100228</v>
      </c>
      <c r="E382" s="39">
        <v>5478</v>
      </c>
      <c r="F382" s="39">
        <v>49</v>
      </c>
      <c r="G382" s="6">
        <v>1</v>
      </c>
      <c r="H382" s="6">
        <v>0</v>
      </c>
      <c r="I382" s="6">
        <v>8</v>
      </c>
      <c r="J382" s="6">
        <v>0</v>
      </c>
      <c r="K382" s="6">
        <v>1</v>
      </c>
      <c r="L382" s="6">
        <v>1</v>
      </c>
      <c r="M382" s="6">
        <v>2</v>
      </c>
      <c r="N382" s="6">
        <v>2</v>
      </c>
      <c r="O382" s="6">
        <v>1</v>
      </c>
      <c r="P382" s="6">
        <v>0</v>
      </c>
      <c r="Q382" s="6">
        <v>0</v>
      </c>
      <c r="R382" s="6">
        <v>3</v>
      </c>
      <c r="S382" s="6">
        <v>14</v>
      </c>
      <c r="T382" s="6">
        <v>3</v>
      </c>
      <c r="U382" s="6">
        <v>4</v>
      </c>
      <c r="V382" s="6">
        <v>2</v>
      </c>
      <c r="W382" s="6">
        <v>1</v>
      </c>
      <c r="X382" s="6">
        <v>2</v>
      </c>
      <c r="Y382" s="6">
        <v>0</v>
      </c>
      <c r="Z382" s="6">
        <v>3</v>
      </c>
      <c r="AA382" s="6">
        <v>1</v>
      </c>
    </row>
    <row r="383" spans="1:27" s="5" customFormat="1" x14ac:dyDescent="0.2">
      <c r="B383" s="191"/>
      <c r="C383" s="15" t="s">
        <v>3</v>
      </c>
      <c r="D383" s="39">
        <v>0.4</v>
      </c>
      <c r="E383" s="39">
        <v>0.2</v>
      </c>
      <c r="F383" s="39">
        <v>0</v>
      </c>
      <c r="G383" s="7">
        <v>0</v>
      </c>
      <c r="H383" s="7">
        <v>0</v>
      </c>
      <c r="I383" s="7">
        <v>0.2</v>
      </c>
      <c r="J383" s="7">
        <v>0</v>
      </c>
      <c r="K383" s="7">
        <v>0</v>
      </c>
      <c r="L383" s="7">
        <v>0</v>
      </c>
      <c r="M383" s="7">
        <v>0</v>
      </c>
      <c r="N383" s="7">
        <v>0</v>
      </c>
      <c r="O383" s="7">
        <v>0</v>
      </c>
      <c r="P383" s="7">
        <v>0</v>
      </c>
      <c r="Q383" s="7">
        <v>0</v>
      </c>
      <c r="R383" s="7">
        <v>0.1</v>
      </c>
      <c r="S383" s="7">
        <v>0.3</v>
      </c>
      <c r="T383" s="7">
        <v>0.1</v>
      </c>
      <c r="U383" s="7">
        <v>0.1</v>
      </c>
      <c r="V383" s="7">
        <v>0</v>
      </c>
      <c r="W383" s="7">
        <v>0</v>
      </c>
      <c r="X383" s="7">
        <v>0</v>
      </c>
      <c r="Y383" s="7">
        <v>0</v>
      </c>
      <c r="Z383" s="7">
        <v>0.1</v>
      </c>
      <c r="AA383" s="7">
        <v>0</v>
      </c>
    </row>
    <row r="384" spans="1:27" s="5" customFormat="1" x14ac:dyDescent="0.2">
      <c r="A384" s="5" t="s">
        <v>40</v>
      </c>
      <c r="B384" s="190" t="s">
        <v>33</v>
      </c>
      <c r="C384" s="15" t="s">
        <v>2</v>
      </c>
      <c r="D384" s="39">
        <v>22063368</v>
      </c>
      <c r="E384" s="39">
        <v>2224059</v>
      </c>
      <c r="F384" s="39">
        <v>100734</v>
      </c>
      <c r="G384" s="6">
        <v>5248</v>
      </c>
      <c r="H384" s="6">
        <v>4620</v>
      </c>
      <c r="I384" s="6">
        <v>4577</v>
      </c>
      <c r="J384" s="6">
        <v>4595</v>
      </c>
      <c r="K384" s="6">
        <v>4590</v>
      </c>
      <c r="L384" s="6">
        <v>4666</v>
      </c>
      <c r="M384" s="6">
        <v>4957</v>
      </c>
      <c r="N384" s="6">
        <v>4378</v>
      </c>
      <c r="O384" s="6">
        <v>5112</v>
      </c>
      <c r="P384" s="6">
        <v>4982</v>
      </c>
      <c r="Q384" s="6">
        <v>4725</v>
      </c>
      <c r="R384" s="6">
        <v>5511</v>
      </c>
      <c r="S384" s="6">
        <v>4798</v>
      </c>
      <c r="T384" s="6">
        <v>4953</v>
      </c>
      <c r="U384" s="6">
        <v>4878</v>
      </c>
      <c r="V384" s="6">
        <v>4920</v>
      </c>
      <c r="W384" s="6">
        <v>4583</v>
      </c>
      <c r="X384" s="6">
        <v>4350</v>
      </c>
      <c r="Y384" s="6">
        <v>5024</v>
      </c>
      <c r="Z384" s="6">
        <v>4965</v>
      </c>
      <c r="AA384" s="6">
        <v>4302</v>
      </c>
    </row>
    <row r="385" spans="1:27" s="5" customFormat="1" x14ac:dyDescent="0.2">
      <c r="B385" s="191"/>
      <c r="C385" s="15" t="s">
        <v>3</v>
      </c>
      <c r="D385" s="39">
        <v>100</v>
      </c>
      <c r="E385" s="39">
        <v>100</v>
      </c>
      <c r="F385" s="39">
        <v>100</v>
      </c>
      <c r="G385" s="7">
        <v>100</v>
      </c>
      <c r="H385" s="7">
        <v>100</v>
      </c>
      <c r="I385" s="7">
        <v>100</v>
      </c>
      <c r="J385" s="7">
        <v>100</v>
      </c>
      <c r="K385" s="7">
        <v>100</v>
      </c>
      <c r="L385" s="7">
        <v>100</v>
      </c>
      <c r="M385" s="7">
        <v>100</v>
      </c>
      <c r="N385" s="7">
        <v>100</v>
      </c>
      <c r="O385" s="7">
        <v>100</v>
      </c>
      <c r="P385" s="7">
        <v>100</v>
      </c>
      <c r="Q385" s="7">
        <v>100</v>
      </c>
      <c r="R385" s="7">
        <v>100</v>
      </c>
      <c r="S385" s="7">
        <v>100</v>
      </c>
      <c r="T385" s="7">
        <v>100</v>
      </c>
      <c r="U385" s="7">
        <v>100</v>
      </c>
      <c r="V385" s="7">
        <v>100</v>
      </c>
      <c r="W385" s="7">
        <v>100</v>
      </c>
      <c r="X385" s="7">
        <v>100</v>
      </c>
      <c r="Y385" s="7">
        <v>100</v>
      </c>
      <c r="Z385" s="7">
        <v>100</v>
      </c>
      <c r="AA385" s="7">
        <v>100</v>
      </c>
    </row>
    <row r="386" spans="1:27" s="5" customFormat="1" x14ac:dyDescent="0.2">
      <c r="B386" s="190" t="s">
        <v>34</v>
      </c>
      <c r="C386" s="15" t="s">
        <v>2</v>
      </c>
      <c r="D386" s="39">
        <v>5691251</v>
      </c>
      <c r="E386" s="39">
        <v>612903</v>
      </c>
      <c r="F386" s="39">
        <v>27108</v>
      </c>
      <c r="G386" s="6">
        <v>1846</v>
      </c>
      <c r="H386" s="6">
        <v>1252</v>
      </c>
      <c r="I386" s="6">
        <v>1053</v>
      </c>
      <c r="J386" s="6">
        <v>861</v>
      </c>
      <c r="K386" s="6">
        <v>871</v>
      </c>
      <c r="L386" s="6">
        <v>1784</v>
      </c>
      <c r="M386" s="6">
        <v>1376</v>
      </c>
      <c r="N386" s="6">
        <v>918</v>
      </c>
      <c r="O386" s="6">
        <v>1354</v>
      </c>
      <c r="P386" s="6">
        <v>1964</v>
      </c>
      <c r="Q386" s="6">
        <v>1457</v>
      </c>
      <c r="R386" s="6">
        <v>1430</v>
      </c>
      <c r="S386" s="6">
        <v>1208</v>
      </c>
      <c r="T386" s="6">
        <v>542</v>
      </c>
      <c r="U386" s="6">
        <v>721</v>
      </c>
      <c r="V386" s="6">
        <v>1239</v>
      </c>
      <c r="W386" s="6">
        <v>1164</v>
      </c>
      <c r="X386" s="6">
        <v>1624</v>
      </c>
      <c r="Y386" s="6">
        <v>1630</v>
      </c>
      <c r="Z386" s="6">
        <v>1487</v>
      </c>
      <c r="AA386" s="6">
        <v>1327</v>
      </c>
    </row>
    <row r="387" spans="1:27" s="5" customFormat="1" x14ac:dyDescent="0.2">
      <c r="B387" s="191"/>
      <c r="C387" s="15" t="s">
        <v>3</v>
      </c>
      <c r="D387" s="39">
        <v>25.8</v>
      </c>
      <c r="E387" s="39">
        <v>27.6</v>
      </c>
      <c r="F387" s="39">
        <v>26.9</v>
      </c>
      <c r="G387" s="7">
        <v>35.200000000000003</v>
      </c>
      <c r="H387" s="7">
        <v>27.1</v>
      </c>
      <c r="I387" s="7">
        <v>23</v>
      </c>
      <c r="J387" s="7">
        <v>18.7</v>
      </c>
      <c r="K387" s="7">
        <v>19</v>
      </c>
      <c r="L387" s="7">
        <v>38.200000000000003</v>
      </c>
      <c r="M387" s="7">
        <v>27.8</v>
      </c>
      <c r="N387" s="7">
        <v>21</v>
      </c>
      <c r="O387" s="7">
        <v>26.5</v>
      </c>
      <c r="P387" s="7">
        <v>39.4</v>
      </c>
      <c r="Q387" s="7">
        <v>30.8</v>
      </c>
      <c r="R387" s="7">
        <v>25.9</v>
      </c>
      <c r="S387" s="7">
        <v>25.2</v>
      </c>
      <c r="T387" s="7">
        <v>10.9</v>
      </c>
      <c r="U387" s="7">
        <v>14.8</v>
      </c>
      <c r="V387" s="7">
        <v>25.2</v>
      </c>
      <c r="W387" s="7">
        <v>25.4</v>
      </c>
      <c r="X387" s="7">
        <v>37.299999999999997</v>
      </c>
      <c r="Y387" s="7">
        <v>32.4</v>
      </c>
      <c r="Z387" s="7">
        <v>29.9</v>
      </c>
      <c r="AA387" s="7">
        <v>30.8</v>
      </c>
    </row>
    <row r="388" spans="1:27" s="5" customFormat="1" x14ac:dyDescent="0.2">
      <c r="B388" s="190" t="s">
        <v>35</v>
      </c>
      <c r="C388" s="15" t="s">
        <v>2</v>
      </c>
      <c r="D388" s="39">
        <v>9301776</v>
      </c>
      <c r="E388" s="39">
        <v>954222</v>
      </c>
      <c r="F388" s="39">
        <v>43197</v>
      </c>
      <c r="G388" s="6">
        <v>2250</v>
      </c>
      <c r="H388" s="6">
        <v>1964</v>
      </c>
      <c r="I388" s="6">
        <v>1993</v>
      </c>
      <c r="J388" s="6">
        <v>1967</v>
      </c>
      <c r="K388" s="6">
        <v>1967</v>
      </c>
      <c r="L388" s="6">
        <v>1932</v>
      </c>
      <c r="M388" s="6">
        <v>2224</v>
      </c>
      <c r="N388" s="6">
        <v>1978</v>
      </c>
      <c r="O388" s="6">
        <v>2181</v>
      </c>
      <c r="P388" s="6">
        <v>2179</v>
      </c>
      <c r="Q388" s="6">
        <v>2085</v>
      </c>
      <c r="R388" s="6">
        <v>2376</v>
      </c>
      <c r="S388" s="6">
        <v>2184</v>
      </c>
      <c r="T388" s="6">
        <v>1772</v>
      </c>
      <c r="U388" s="6">
        <v>2059</v>
      </c>
      <c r="V388" s="6">
        <v>2189</v>
      </c>
      <c r="W388" s="6">
        <v>1899</v>
      </c>
      <c r="X388" s="6">
        <v>1873</v>
      </c>
      <c r="Y388" s="6">
        <v>2118</v>
      </c>
      <c r="Z388" s="6">
        <v>2144</v>
      </c>
      <c r="AA388" s="6">
        <v>1863</v>
      </c>
    </row>
    <row r="389" spans="1:27" s="5" customFormat="1" x14ac:dyDescent="0.2">
      <c r="B389" s="191"/>
      <c r="C389" s="15" t="s">
        <v>3</v>
      </c>
      <c r="D389" s="39">
        <v>42.2</v>
      </c>
      <c r="E389" s="39">
        <v>42.9</v>
      </c>
      <c r="F389" s="39">
        <v>42.9</v>
      </c>
      <c r="G389" s="7">
        <v>42.9</v>
      </c>
      <c r="H389" s="7">
        <v>42.5</v>
      </c>
      <c r="I389" s="7">
        <v>43.5</v>
      </c>
      <c r="J389" s="7">
        <v>42.8</v>
      </c>
      <c r="K389" s="7">
        <v>42.9</v>
      </c>
      <c r="L389" s="7">
        <v>41.4</v>
      </c>
      <c r="M389" s="7">
        <v>44.9</v>
      </c>
      <c r="N389" s="7">
        <v>45.2</v>
      </c>
      <c r="O389" s="7">
        <v>42.7</v>
      </c>
      <c r="P389" s="7">
        <v>43.7</v>
      </c>
      <c r="Q389" s="7">
        <v>44.1</v>
      </c>
      <c r="R389" s="7">
        <v>43.1</v>
      </c>
      <c r="S389" s="7">
        <v>45.5</v>
      </c>
      <c r="T389" s="7">
        <v>35.799999999999997</v>
      </c>
      <c r="U389" s="7">
        <v>42.2</v>
      </c>
      <c r="V389" s="7">
        <v>44.5</v>
      </c>
      <c r="W389" s="7">
        <v>41.4</v>
      </c>
      <c r="X389" s="7">
        <v>43.1</v>
      </c>
      <c r="Y389" s="7">
        <v>42.2</v>
      </c>
      <c r="Z389" s="7">
        <v>43.2</v>
      </c>
      <c r="AA389" s="7">
        <v>43.3</v>
      </c>
    </row>
    <row r="390" spans="1:27" s="5" customFormat="1" x14ac:dyDescent="0.2">
      <c r="B390" s="190" t="s">
        <v>36</v>
      </c>
      <c r="C390" s="15" t="s">
        <v>2</v>
      </c>
      <c r="D390" s="39">
        <v>5441593</v>
      </c>
      <c r="E390" s="39">
        <v>521858</v>
      </c>
      <c r="F390" s="39">
        <v>24317</v>
      </c>
      <c r="G390" s="6">
        <v>956</v>
      </c>
      <c r="H390" s="6">
        <v>1110</v>
      </c>
      <c r="I390" s="6">
        <v>1226</v>
      </c>
      <c r="J390" s="6">
        <v>1408</v>
      </c>
      <c r="K390" s="6">
        <v>1414</v>
      </c>
      <c r="L390" s="6">
        <v>750</v>
      </c>
      <c r="M390" s="6">
        <v>1099</v>
      </c>
      <c r="N390" s="6">
        <v>1172</v>
      </c>
      <c r="O390" s="6">
        <v>1283</v>
      </c>
      <c r="P390" s="6">
        <v>701</v>
      </c>
      <c r="Q390" s="6">
        <v>944</v>
      </c>
      <c r="R390" s="6">
        <v>1378</v>
      </c>
      <c r="S390" s="6">
        <v>1174</v>
      </c>
      <c r="T390" s="6">
        <v>1946</v>
      </c>
      <c r="U390" s="6">
        <v>1635</v>
      </c>
      <c r="V390" s="6">
        <v>1203</v>
      </c>
      <c r="W390" s="6">
        <v>1212</v>
      </c>
      <c r="X390" s="6">
        <v>702</v>
      </c>
      <c r="Y390" s="6">
        <v>1041</v>
      </c>
      <c r="Z390" s="6">
        <v>1075</v>
      </c>
      <c r="AA390" s="6">
        <v>888</v>
      </c>
    </row>
    <row r="391" spans="1:27" s="5" customFormat="1" x14ac:dyDescent="0.2">
      <c r="B391" s="191"/>
      <c r="C391" s="15" t="s">
        <v>3</v>
      </c>
      <c r="D391" s="39">
        <v>24.7</v>
      </c>
      <c r="E391" s="39">
        <v>23.5</v>
      </c>
      <c r="F391" s="39">
        <v>24.1</v>
      </c>
      <c r="G391" s="7">
        <v>18.2</v>
      </c>
      <c r="H391" s="7">
        <v>24</v>
      </c>
      <c r="I391" s="7">
        <v>26.8</v>
      </c>
      <c r="J391" s="7">
        <v>30.6</v>
      </c>
      <c r="K391" s="7">
        <v>30.8</v>
      </c>
      <c r="L391" s="7">
        <v>16.100000000000001</v>
      </c>
      <c r="M391" s="7">
        <v>22.2</v>
      </c>
      <c r="N391" s="7">
        <v>26.8</v>
      </c>
      <c r="O391" s="7">
        <v>25.1</v>
      </c>
      <c r="P391" s="7">
        <v>14.1</v>
      </c>
      <c r="Q391" s="7">
        <v>20</v>
      </c>
      <c r="R391" s="7">
        <v>25</v>
      </c>
      <c r="S391" s="7">
        <v>24.5</v>
      </c>
      <c r="T391" s="7">
        <v>39.299999999999997</v>
      </c>
      <c r="U391" s="7">
        <v>33.5</v>
      </c>
      <c r="V391" s="7">
        <v>24.5</v>
      </c>
      <c r="W391" s="7">
        <v>26.4</v>
      </c>
      <c r="X391" s="7">
        <v>16.100000000000001</v>
      </c>
      <c r="Y391" s="7">
        <v>20.7</v>
      </c>
      <c r="Z391" s="7">
        <v>21.7</v>
      </c>
      <c r="AA391" s="7">
        <v>20.6</v>
      </c>
    </row>
    <row r="392" spans="1:27" s="5" customFormat="1" x14ac:dyDescent="0.2">
      <c r="B392" s="190" t="s">
        <v>37</v>
      </c>
      <c r="C392" s="15" t="s">
        <v>2</v>
      </c>
      <c r="D392" s="39">
        <v>1203865</v>
      </c>
      <c r="E392" s="39">
        <v>102611</v>
      </c>
      <c r="F392" s="39">
        <v>4804</v>
      </c>
      <c r="G392" s="6">
        <v>160</v>
      </c>
      <c r="H392" s="6">
        <v>231</v>
      </c>
      <c r="I392" s="6">
        <v>244</v>
      </c>
      <c r="J392" s="6">
        <v>298</v>
      </c>
      <c r="K392" s="6">
        <v>264</v>
      </c>
      <c r="L392" s="6">
        <v>155</v>
      </c>
      <c r="M392" s="6">
        <v>209</v>
      </c>
      <c r="N392" s="6">
        <v>258</v>
      </c>
      <c r="O392" s="6">
        <v>228</v>
      </c>
      <c r="P392" s="6">
        <v>108</v>
      </c>
      <c r="Q392" s="6">
        <v>190</v>
      </c>
      <c r="R392" s="6">
        <v>241</v>
      </c>
      <c r="S392" s="6">
        <v>183</v>
      </c>
      <c r="T392" s="6">
        <v>513</v>
      </c>
      <c r="U392" s="6">
        <v>346</v>
      </c>
      <c r="V392" s="6">
        <v>224</v>
      </c>
      <c r="W392" s="6">
        <v>238</v>
      </c>
      <c r="X392" s="6">
        <v>124</v>
      </c>
      <c r="Y392" s="6">
        <v>194</v>
      </c>
      <c r="Z392" s="6">
        <v>216</v>
      </c>
      <c r="AA392" s="6">
        <v>180</v>
      </c>
    </row>
    <row r="393" spans="1:27" s="5" customFormat="1" x14ac:dyDescent="0.2">
      <c r="B393" s="191"/>
      <c r="C393" s="15" t="s">
        <v>3</v>
      </c>
      <c r="D393" s="39">
        <v>5.5</v>
      </c>
      <c r="E393" s="39">
        <v>4.5999999999999996</v>
      </c>
      <c r="F393" s="39">
        <v>4.8</v>
      </c>
      <c r="G393" s="7">
        <v>3</v>
      </c>
      <c r="H393" s="7">
        <v>5</v>
      </c>
      <c r="I393" s="7">
        <v>5.3</v>
      </c>
      <c r="J393" s="7">
        <v>6.5</v>
      </c>
      <c r="K393" s="7">
        <v>5.8</v>
      </c>
      <c r="L393" s="7">
        <v>3.3</v>
      </c>
      <c r="M393" s="7">
        <v>4.2</v>
      </c>
      <c r="N393" s="7">
        <v>5.9</v>
      </c>
      <c r="O393" s="7">
        <v>4.5</v>
      </c>
      <c r="P393" s="7">
        <v>2.2000000000000002</v>
      </c>
      <c r="Q393" s="7">
        <v>4</v>
      </c>
      <c r="R393" s="7">
        <v>4.4000000000000004</v>
      </c>
      <c r="S393" s="7">
        <v>3.8</v>
      </c>
      <c r="T393" s="7">
        <v>10.4</v>
      </c>
      <c r="U393" s="7">
        <v>7.1</v>
      </c>
      <c r="V393" s="7">
        <v>4.5999999999999996</v>
      </c>
      <c r="W393" s="7">
        <v>5.2</v>
      </c>
      <c r="X393" s="7">
        <v>2.9</v>
      </c>
      <c r="Y393" s="7">
        <v>3.9</v>
      </c>
      <c r="Z393" s="7">
        <v>4.4000000000000004</v>
      </c>
      <c r="AA393" s="7">
        <v>4.2</v>
      </c>
    </row>
    <row r="394" spans="1:27" s="5" customFormat="1" x14ac:dyDescent="0.2">
      <c r="B394" s="190" t="s">
        <v>38</v>
      </c>
      <c r="C394" s="15" t="s">
        <v>2</v>
      </c>
      <c r="D394" s="39">
        <v>424883</v>
      </c>
      <c r="E394" s="39">
        <v>32465</v>
      </c>
      <c r="F394" s="39">
        <v>1308</v>
      </c>
      <c r="G394" s="6">
        <v>36</v>
      </c>
      <c r="H394" s="6">
        <v>63</v>
      </c>
      <c r="I394" s="6">
        <v>61</v>
      </c>
      <c r="J394" s="6">
        <v>61</v>
      </c>
      <c r="K394" s="6">
        <v>74</v>
      </c>
      <c r="L394" s="6">
        <v>45</v>
      </c>
      <c r="M394" s="6">
        <v>49</v>
      </c>
      <c r="N394" s="6">
        <v>52</v>
      </c>
      <c r="O394" s="6">
        <v>66</v>
      </c>
      <c r="P394" s="6">
        <v>30</v>
      </c>
      <c r="Q394" s="6">
        <v>49</v>
      </c>
      <c r="R394" s="6">
        <v>86</v>
      </c>
      <c r="S394" s="6">
        <v>49</v>
      </c>
      <c r="T394" s="6">
        <v>180</v>
      </c>
      <c r="U394" s="6">
        <v>117</v>
      </c>
      <c r="V394" s="6">
        <v>65</v>
      </c>
      <c r="W394" s="6">
        <v>70</v>
      </c>
      <c r="X394" s="6">
        <v>27</v>
      </c>
      <c r="Y394" s="6">
        <v>41</v>
      </c>
      <c r="Z394" s="6">
        <v>43</v>
      </c>
      <c r="AA394" s="6">
        <v>44</v>
      </c>
    </row>
    <row r="395" spans="1:27" s="5" customFormat="1" x14ac:dyDescent="0.2">
      <c r="B395" s="191"/>
      <c r="C395" s="15" t="s">
        <v>3</v>
      </c>
      <c r="D395" s="39">
        <v>1.9</v>
      </c>
      <c r="E395" s="39">
        <v>1.5</v>
      </c>
      <c r="F395" s="39">
        <v>1.3</v>
      </c>
      <c r="G395" s="7">
        <v>0.7</v>
      </c>
      <c r="H395" s="7">
        <v>1.4</v>
      </c>
      <c r="I395" s="7">
        <v>1.3</v>
      </c>
      <c r="J395" s="7">
        <v>1.3</v>
      </c>
      <c r="K395" s="7">
        <v>1.6</v>
      </c>
      <c r="L395" s="7">
        <v>1</v>
      </c>
      <c r="M395" s="7">
        <v>1</v>
      </c>
      <c r="N395" s="7">
        <v>1.2</v>
      </c>
      <c r="O395" s="7">
        <v>1.3</v>
      </c>
      <c r="P395" s="7">
        <v>0.6</v>
      </c>
      <c r="Q395" s="7">
        <v>1</v>
      </c>
      <c r="R395" s="7">
        <v>1.6</v>
      </c>
      <c r="S395" s="7">
        <v>1</v>
      </c>
      <c r="T395" s="7">
        <v>3.6</v>
      </c>
      <c r="U395" s="7">
        <v>2.4</v>
      </c>
      <c r="V395" s="7">
        <v>1.3</v>
      </c>
      <c r="W395" s="7">
        <v>1.5</v>
      </c>
      <c r="X395" s="7">
        <v>0.6</v>
      </c>
      <c r="Y395" s="7">
        <v>0.8</v>
      </c>
      <c r="Z395" s="7">
        <v>0.9</v>
      </c>
      <c r="AA395" s="7">
        <v>1</v>
      </c>
    </row>
    <row r="396" spans="1:27" s="5" customFormat="1" x14ac:dyDescent="0.2">
      <c r="B396" s="190" t="s">
        <v>39</v>
      </c>
      <c r="C396" s="15" t="s">
        <v>2</v>
      </c>
      <c r="D396" s="39">
        <v>25696833</v>
      </c>
      <c r="E396" s="39">
        <v>2451298</v>
      </c>
      <c r="F396" s="39">
        <v>112010</v>
      </c>
      <c r="G396" s="6">
        <v>4798</v>
      </c>
      <c r="H396" s="6">
        <v>5169</v>
      </c>
      <c r="I396" s="6">
        <v>5432</v>
      </c>
      <c r="J396" s="6">
        <v>5965</v>
      </c>
      <c r="K396" s="6">
        <v>5919</v>
      </c>
      <c r="L396" s="6">
        <v>4096</v>
      </c>
      <c r="M396" s="6">
        <v>5266</v>
      </c>
      <c r="N396" s="6">
        <v>5322</v>
      </c>
      <c r="O396" s="6">
        <v>5722</v>
      </c>
      <c r="P396" s="6">
        <v>4038</v>
      </c>
      <c r="Q396" s="6">
        <v>4770</v>
      </c>
      <c r="R396" s="6">
        <v>6222</v>
      </c>
      <c r="S396" s="6">
        <v>5295</v>
      </c>
      <c r="T396" s="6">
        <v>7999</v>
      </c>
      <c r="U396" s="6">
        <v>6877</v>
      </c>
      <c r="V396" s="6">
        <v>5546</v>
      </c>
      <c r="W396" s="6">
        <v>5343</v>
      </c>
      <c r="X396" s="6">
        <v>3768</v>
      </c>
      <c r="Y396" s="6">
        <v>4965</v>
      </c>
      <c r="Z396" s="6">
        <v>5127</v>
      </c>
      <c r="AA396" s="6">
        <v>4371</v>
      </c>
    </row>
    <row r="397" spans="1:27" s="5" customFormat="1" x14ac:dyDescent="0.2">
      <c r="B397" s="191"/>
      <c r="C397" s="15" t="s">
        <v>3</v>
      </c>
      <c r="D397" s="8" t="s">
        <v>30</v>
      </c>
      <c r="E397" s="8" t="s">
        <v>30</v>
      </c>
      <c r="F397" s="8" t="s">
        <v>30</v>
      </c>
      <c r="G397" s="8" t="s">
        <v>30</v>
      </c>
      <c r="H397" s="8" t="s">
        <v>30</v>
      </c>
      <c r="I397" s="8" t="s">
        <v>30</v>
      </c>
      <c r="J397" s="8" t="s">
        <v>30</v>
      </c>
      <c r="K397" s="8" t="s">
        <v>30</v>
      </c>
      <c r="L397" s="8" t="s">
        <v>30</v>
      </c>
      <c r="M397" s="8" t="s">
        <v>30</v>
      </c>
      <c r="N397" s="8" t="s">
        <v>30</v>
      </c>
      <c r="O397" s="8" t="s">
        <v>30</v>
      </c>
      <c r="P397" s="8" t="s">
        <v>30</v>
      </c>
      <c r="Q397" s="8" t="s">
        <v>30</v>
      </c>
      <c r="R397" s="8" t="s">
        <v>30</v>
      </c>
      <c r="S397" s="8" t="s">
        <v>30</v>
      </c>
      <c r="T397" s="8" t="s">
        <v>30</v>
      </c>
      <c r="U397" s="8" t="s">
        <v>30</v>
      </c>
      <c r="V397" s="8" t="s">
        <v>30</v>
      </c>
      <c r="W397" s="8" t="s">
        <v>30</v>
      </c>
      <c r="X397" s="8" t="s">
        <v>30</v>
      </c>
      <c r="Y397" s="8" t="s">
        <v>30</v>
      </c>
      <c r="Z397" s="8" t="s">
        <v>30</v>
      </c>
      <c r="AA397" s="8" t="s">
        <v>30</v>
      </c>
    </row>
    <row r="398" spans="1:27" s="5" customFormat="1" x14ac:dyDescent="0.2">
      <c r="A398" s="5" t="s">
        <v>102</v>
      </c>
      <c r="B398" s="16" t="s">
        <v>84</v>
      </c>
      <c r="C398" s="16" t="s">
        <v>2</v>
      </c>
      <c r="D398" s="40">
        <v>38881374</v>
      </c>
      <c r="E398" s="40">
        <v>3875219</v>
      </c>
      <c r="F398" s="40">
        <v>170405</v>
      </c>
      <c r="G398" s="5">
        <v>8577</v>
      </c>
      <c r="H398" s="5">
        <v>8006</v>
      </c>
      <c r="I398" s="5">
        <v>7849</v>
      </c>
      <c r="J398" s="5">
        <v>7923</v>
      </c>
      <c r="K398" s="5">
        <v>7857</v>
      </c>
      <c r="L398" s="5">
        <v>7624</v>
      </c>
      <c r="M398" s="5">
        <v>8729</v>
      </c>
      <c r="N398" s="5">
        <v>7205</v>
      </c>
      <c r="O398" s="5">
        <v>8700</v>
      </c>
      <c r="P398" s="5">
        <v>7961</v>
      </c>
      <c r="Q398" s="5">
        <v>7996</v>
      </c>
      <c r="R398" s="5">
        <v>9573</v>
      </c>
      <c r="S398" s="5">
        <v>8100</v>
      </c>
      <c r="T398" s="5">
        <v>8630</v>
      </c>
      <c r="U398" s="5">
        <v>8422</v>
      </c>
      <c r="V398" s="5">
        <v>8128</v>
      </c>
      <c r="W398" s="5">
        <v>7864</v>
      </c>
      <c r="X398" s="5">
        <v>7294</v>
      </c>
      <c r="Y398" s="5">
        <v>8531</v>
      </c>
      <c r="Z398" s="5">
        <v>8376</v>
      </c>
      <c r="AA398" s="5">
        <v>7060</v>
      </c>
    </row>
    <row r="399" spans="1:27" s="5" customFormat="1" x14ac:dyDescent="0.2">
      <c r="B399" s="16"/>
      <c r="C399" s="16" t="s">
        <v>3</v>
      </c>
      <c r="D399" s="40">
        <v>100</v>
      </c>
      <c r="E399" s="40">
        <v>100</v>
      </c>
      <c r="F399" s="40">
        <v>100</v>
      </c>
      <c r="G399" s="5">
        <v>100</v>
      </c>
      <c r="H399" s="5">
        <v>100</v>
      </c>
      <c r="I399" s="5">
        <v>100</v>
      </c>
      <c r="J399" s="5">
        <v>100</v>
      </c>
      <c r="K399" s="5">
        <v>100</v>
      </c>
      <c r="L399" s="5">
        <v>100</v>
      </c>
      <c r="M399" s="5">
        <v>100</v>
      </c>
      <c r="N399" s="5">
        <v>100</v>
      </c>
      <c r="O399" s="5">
        <v>100</v>
      </c>
      <c r="P399" s="5">
        <v>100</v>
      </c>
      <c r="Q399" s="5">
        <v>100</v>
      </c>
      <c r="R399" s="5">
        <v>100</v>
      </c>
      <c r="S399" s="5">
        <v>100</v>
      </c>
      <c r="T399" s="5">
        <v>100</v>
      </c>
      <c r="U399" s="5">
        <v>100</v>
      </c>
      <c r="V399" s="5">
        <v>100</v>
      </c>
      <c r="W399" s="5">
        <v>100</v>
      </c>
      <c r="X399" s="5">
        <v>100</v>
      </c>
      <c r="Y399" s="5">
        <v>100</v>
      </c>
      <c r="Z399" s="5">
        <v>100</v>
      </c>
      <c r="AA399" s="5">
        <v>100</v>
      </c>
    </row>
    <row r="400" spans="1:27" s="5" customFormat="1" x14ac:dyDescent="0.2">
      <c r="B400" s="16" t="s">
        <v>85</v>
      </c>
      <c r="C400" s="16" t="s">
        <v>2</v>
      </c>
      <c r="D400" s="40">
        <v>27183134</v>
      </c>
      <c r="E400" s="40">
        <v>2649975</v>
      </c>
      <c r="F400" s="40">
        <v>113306</v>
      </c>
      <c r="G400" s="5">
        <v>5944</v>
      </c>
      <c r="H400" s="5">
        <v>5478</v>
      </c>
      <c r="I400" s="5">
        <v>5166</v>
      </c>
      <c r="J400" s="5">
        <v>5541</v>
      </c>
      <c r="K400" s="5">
        <v>5368</v>
      </c>
      <c r="L400" s="5">
        <v>4423</v>
      </c>
      <c r="M400" s="5">
        <v>5737</v>
      </c>
      <c r="N400" s="5">
        <v>4756</v>
      </c>
      <c r="O400" s="5">
        <v>6017</v>
      </c>
      <c r="P400" s="5">
        <v>5578</v>
      </c>
      <c r="Q400" s="5">
        <v>4858</v>
      </c>
      <c r="R400" s="5">
        <v>6201</v>
      </c>
      <c r="S400" s="5">
        <v>5760</v>
      </c>
      <c r="T400" s="5">
        <v>5906</v>
      </c>
      <c r="U400" s="5">
        <v>6144</v>
      </c>
      <c r="V400" s="5">
        <v>5446</v>
      </c>
      <c r="W400" s="5">
        <v>5181</v>
      </c>
      <c r="X400" s="5">
        <v>4488</v>
      </c>
      <c r="Y400" s="5">
        <v>5319</v>
      </c>
      <c r="Z400" s="5">
        <v>5623</v>
      </c>
      <c r="AA400" s="5">
        <v>4372</v>
      </c>
    </row>
    <row r="401" spans="2:27" s="5" customFormat="1" x14ac:dyDescent="0.2">
      <c r="B401" s="16"/>
      <c r="C401" s="16" t="s">
        <v>3</v>
      </c>
      <c r="D401" s="40">
        <v>69.900000000000006</v>
      </c>
      <c r="E401" s="40">
        <v>68.400000000000006</v>
      </c>
      <c r="F401" s="40">
        <v>66.5</v>
      </c>
      <c r="G401" s="5">
        <v>69.3</v>
      </c>
      <c r="H401" s="5">
        <v>68.400000000000006</v>
      </c>
      <c r="I401" s="5">
        <v>65.8</v>
      </c>
      <c r="J401" s="5">
        <v>69.900000000000006</v>
      </c>
      <c r="K401" s="5">
        <v>68.3</v>
      </c>
      <c r="L401" s="5">
        <v>58</v>
      </c>
      <c r="M401" s="5">
        <v>65.7</v>
      </c>
      <c r="N401" s="5">
        <v>66</v>
      </c>
      <c r="O401" s="5">
        <v>69.2</v>
      </c>
      <c r="P401" s="5">
        <v>70.099999999999994</v>
      </c>
      <c r="Q401" s="5">
        <v>60.8</v>
      </c>
      <c r="R401" s="5">
        <v>64.8</v>
      </c>
      <c r="S401" s="5">
        <v>71.099999999999994</v>
      </c>
      <c r="T401" s="5">
        <v>68.400000000000006</v>
      </c>
      <c r="U401" s="5">
        <v>73</v>
      </c>
      <c r="V401" s="5">
        <v>67</v>
      </c>
      <c r="W401" s="5">
        <v>65.900000000000006</v>
      </c>
      <c r="X401" s="5">
        <v>61.5</v>
      </c>
      <c r="Y401" s="5">
        <v>62.3</v>
      </c>
      <c r="Z401" s="5">
        <v>67.099999999999994</v>
      </c>
      <c r="AA401" s="5">
        <v>61.9</v>
      </c>
    </row>
    <row r="402" spans="2:27" s="5" customFormat="1" x14ac:dyDescent="0.2">
      <c r="B402" s="16" t="s">
        <v>86</v>
      </c>
      <c r="C402" s="16" t="s">
        <v>2</v>
      </c>
      <c r="D402" s="40">
        <v>24143464</v>
      </c>
      <c r="E402" s="40">
        <v>2325386</v>
      </c>
      <c r="F402" s="40">
        <v>100751</v>
      </c>
      <c r="G402" s="5">
        <v>5212</v>
      </c>
      <c r="H402" s="5">
        <v>4817</v>
      </c>
      <c r="I402" s="5">
        <v>4589</v>
      </c>
      <c r="J402" s="5">
        <v>5031</v>
      </c>
      <c r="K402" s="5">
        <v>4907</v>
      </c>
      <c r="L402" s="5">
        <v>3766</v>
      </c>
      <c r="M402" s="5">
        <v>5086</v>
      </c>
      <c r="N402" s="5">
        <v>4364</v>
      </c>
      <c r="O402" s="5">
        <v>5380</v>
      </c>
      <c r="P402" s="5">
        <v>4855</v>
      </c>
      <c r="Q402" s="5">
        <v>4243</v>
      </c>
      <c r="R402" s="5">
        <v>5467</v>
      </c>
      <c r="S402" s="5">
        <v>5217</v>
      </c>
      <c r="T402" s="5">
        <v>5563</v>
      </c>
      <c r="U402" s="5">
        <v>5689</v>
      </c>
      <c r="V402" s="5">
        <v>4856</v>
      </c>
      <c r="W402" s="5">
        <v>4648</v>
      </c>
      <c r="X402" s="5">
        <v>3736</v>
      </c>
      <c r="Y402" s="5">
        <v>4611</v>
      </c>
      <c r="Z402" s="5">
        <v>4941</v>
      </c>
      <c r="AA402" s="5">
        <v>3773</v>
      </c>
    </row>
    <row r="403" spans="2:27" s="5" customFormat="1" x14ac:dyDescent="0.2">
      <c r="B403" s="16"/>
      <c r="C403" s="16" t="s">
        <v>3</v>
      </c>
      <c r="D403" s="40">
        <v>62.1</v>
      </c>
      <c r="E403" s="40">
        <v>60</v>
      </c>
      <c r="F403" s="40">
        <v>59.1</v>
      </c>
      <c r="G403" s="5">
        <v>60.8</v>
      </c>
      <c r="H403" s="5">
        <v>60.2</v>
      </c>
      <c r="I403" s="5">
        <v>58.5</v>
      </c>
      <c r="J403" s="5">
        <v>63.5</v>
      </c>
      <c r="K403" s="5">
        <v>62.5</v>
      </c>
      <c r="L403" s="5">
        <v>49.4</v>
      </c>
      <c r="M403" s="5">
        <v>58.3</v>
      </c>
      <c r="N403" s="5">
        <v>60.6</v>
      </c>
      <c r="O403" s="5">
        <v>61.8</v>
      </c>
      <c r="P403" s="5">
        <v>61</v>
      </c>
      <c r="Q403" s="5">
        <v>53.1</v>
      </c>
      <c r="R403" s="5">
        <v>57.1</v>
      </c>
      <c r="S403" s="5">
        <v>64.400000000000006</v>
      </c>
      <c r="T403" s="5">
        <v>64.5</v>
      </c>
      <c r="U403" s="5">
        <v>67.5</v>
      </c>
      <c r="V403" s="5">
        <v>59.7</v>
      </c>
      <c r="W403" s="5">
        <v>59.1</v>
      </c>
      <c r="X403" s="5">
        <v>51.2</v>
      </c>
      <c r="Y403" s="5">
        <v>54</v>
      </c>
      <c r="Z403" s="5">
        <v>59</v>
      </c>
      <c r="AA403" s="5">
        <v>53.4</v>
      </c>
    </row>
    <row r="404" spans="2:27" s="5" customFormat="1" x14ac:dyDescent="0.2">
      <c r="B404" s="16" t="s">
        <v>87</v>
      </c>
      <c r="C404" s="16" t="s">
        <v>2</v>
      </c>
      <c r="D404" s="40">
        <v>5333268</v>
      </c>
      <c r="E404" s="40">
        <v>564578</v>
      </c>
      <c r="F404" s="40">
        <v>24807</v>
      </c>
      <c r="G404" s="5">
        <v>1252</v>
      </c>
      <c r="H404" s="5">
        <v>1202</v>
      </c>
      <c r="I404" s="5">
        <v>1132</v>
      </c>
      <c r="J404" s="5">
        <v>1125</v>
      </c>
      <c r="K404" s="5">
        <v>1174</v>
      </c>
      <c r="L404" s="5">
        <v>994</v>
      </c>
      <c r="M404" s="5">
        <v>1261</v>
      </c>
      <c r="N404" s="5">
        <v>1111</v>
      </c>
      <c r="O404" s="5">
        <v>1325</v>
      </c>
      <c r="P404" s="5">
        <v>1163</v>
      </c>
      <c r="Q404" s="5">
        <v>1160</v>
      </c>
      <c r="R404" s="5">
        <v>1318</v>
      </c>
      <c r="S404" s="5">
        <v>1228</v>
      </c>
      <c r="T404" s="5">
        <v>1198</v>
      </c>
      <c r="U404" s="5">
        <v>1272</v>
      </c>
      <c r="V404" s="5">
        <v>1238</v>
      </c>
      <c r="W404" s="5">
        <v>1114</v>
      </c>
      <c r="X404" s="5">
        <v>1094</v>
      </c>
      <c r="Y404" s="5">
        <v>1185</v>
      </c>
      <c r="Z404" s="5">
        <v>1259</v>
      </c>
      <c r="AA404" s="5">
        <v>1002</v>
      </c>
    </row>
    <row r="405" spans="2:27" s="5" customFormat="1" x14ac:dyDescent="0.2">
      <c r="B405" s="16"/>
      <c r="C405" s="16" t="s">
        <v>3</v>
      </c>
      <c r="D405" s="40">
        <v>13.7</v>
      </c>
      <c r="E405" s="40">
        <v>14.6</v>
      </c>
      <c r="F405" s="40">
        <v>14.6</v>
      </c>
      <c r="G405" s="5">
        <v>14.6</v>
      </c>
      <c r="H405" s="5">
        <v>15</v>
      </c>
      <c r="I405" s="5">
        <v>14.4</v>
      </c>
      <c r="J405" s="5">
        <v>14.2</v>
      </c>
      <c r="K405" s="5">
        <v>14.9</v>
      </c>
      <c r="L405" s="5">
        <v>13</v>
      </c>
      <c r="M405" s="5">
        <v>14.4</v>
      </c>
      <c r="N405" s="5">
        <v>15.4</v>
      </c>
      <c r="O405" s="5">
        <v>15.2</v>
      </c>
      <c r="P405" s="5">
        <v>14.6</v>
      </c>
      <c r="Q405" s="5">
        <v>14.5</v>
      </c>
      <c r="R405" s="5">
        <v>13.8</v>
      </c>
      <c r="S405" s="5">
        <v>15.2</v>
      </c>
      <c r="T405" s="5">
        <v>13.9</v>
      </c>
      <c r="U405" s="5">
        <v>15.1</v>
      </c>
      <c r="V405" s="5">
        <v>15.2</v>
      </c>
      <c r="W405" s="5">
        <v>14.2</v>
      </c>
      <c r="X405" s="5">
        <v>15</v>
      </c>
      <c r="Y405" s="5">
        <v>13.9</v>
      </c>
      <c r="Z405" s="5">
        <v>15</v>
      </c>
      <c r="AA405" s="5">
        <v>14.2</v>
      </c>
    </row>
    <row r="406" spans="2:27" s="5" customFormat="1" x14ac:dyDescent="0.2">
      <c r="B406" s="16" t="s">
        <v>88</v>
      </c>
      <c r="C406" s="16" t="s">
        <v>2</v>
      </c>
      <c r="D406" s="40">
        <v>15016564</v>
      </c>
      <c r="E406" s="40">
        <v>1435376</v>
      </c>
      <c r="F406" s="40">
        <v>62841</v>
      </c>
      <c r="G406" s="5">
        <v>3375</v>
      </c>
      <c r="H406" s="5">
        <v>3027</v>
      </c>
      <c r="I406" s="5">
        <v>2825</v>
      </c>
      <c r="J406" s="5">
        <v>3216</v>
      </c>
      <c r="K406" s="5">
        <v>3077</v>
      </c>
      <c r="L406" s="5">
        <v>2293</v>
      </c>
      <c r="M406" s="5">
        <v>3244</v>
      </c>
      <c r="N406" s="5">
        <v>2658</v>
      </c>
      <c r="O406" s="5">
        <v>3412</v>
      </c>
      <c r="P406" s="5">
        <v>3116</v>
      </c>
      <c r="Q406" s="5">
        <v>2547</v>
      </c>
      <c r="R406" s="5">
        <v>3457</v>
      </c>
      <c r="S406" s="5">
        <v>3290</v>
      </c>
      <c r="T406" s="5">
        <v>3192</v>
      </c>
      <c r="U406" s="5">
        <v>3507</v>
      </c>
      <c r="V406" s="5">
        <v>3047</v>
      </c>
      <c r="W406" s="5">
        <v>3008</v>
      </c>
      <c r="X406" s="5">
        <v>2218</v>
      </c>
      <c r="Y406" s="5">
        <v>2933</v>
      </c>
      <c r="Z406" s="5">
        <v>3128</v>
      </c>
      <c r="AA406" s="5">
        <v>2271</v>
      </c>
    </row>
    <row r="407" spans="2:27" s="5" customFormat="1" x14ac:dyDescent="0.2">
      <c r="B407" s="16"/>
      <c r="C407" s="16" t="s">
        <v>3</v>
      </c>
      <c r="D407" s="40">
        <v>38.6</v>
      </c>
      <c r="E407" s="40">
        <v>37</v>
      </c>
      <c r="F407" s="40">
        <v>36.9</v>
      </c>
      <c r="G407" s="5">
        <v>39.299999999999997</v>
      </c>
      <c r="H407" s="5">
        <v>37.799999999999997</v>
      </c>
      <c r="I407" s="5">
        <v>36</v>
      </c>
      <c r="J407" s="5">
        <v>40.6</v>
      </c>
      <c r="K407" s="5">
        <v>39.200000000000003</v>
      </c>
      <c r="L407" s="5">
        <v>30.1</v>
      </c>
      <c r="M407" s="5">
        <v>37.200000000000003</v>
      </c>
      <c r="N407" s="5">
        <v>36.9</v>
      </c>
      <c r="O407" s="5">
        <v>39.200000000000003</v>
      </c>
      <c r="P407" s="5">
        <v>39.1</v>
      </c>
      <c r="Q407" s="5">
        <v>31.9</v>
      </c>
      <c r="R407" s="5">
        <v>36.1</v>
      </c>
      <c r="S407" s="5">
        <v>40.6</v>
      </c>
      <c r="T407" s="5">
        <v>37</v>
      </c>
      <c r="U407" s="5">
        <v>41.6</v>
      </c>
      <c r="V407" s="5">
        <v>37.5</v>
      </c>
      <c r="W407" s="5">
        <v>38.299999999999997</v>
      </c>
      <c r="X407" s="5">
        <v>30.4</v>
      </c>
      <c r="Y407" s="5">
        <v>34.4</v>
      </c>
      <c r="Z407" s="5">
        <v>37.299999999999997</v>
      </c>
      <c r="AA407" s="5">
        <v>32.200000000000003</v>
      </c>
    </row>
    <row r="408" spans="2:27" s="5" customFormat="1" x14ac:dyDescent="0.2">
      <c r="B408" s="16" t="s">
        <v>89</v>
      </c>
      <c r="C408" s="16" t="s">
        <v>2</v>
      </c>
      <c r="D408" s="40">
        <v>3793632</v>
      </c>
      <c r="E408" s="40">
        <v>325432</v>
      </c>
      <c r="F408" s="40">
        <v>13103</v>
      </c>
      <c r="G408" s="5">
        <v>585</v>
      </c>
      <c r="H408" s="5">
        <v>588</v>
      </c>
      <c r="I408" s="5">
        <v>632</v>
      </c>
      <c r="J408" s="5">
        <v>690</v>
      </c>
      <c r="K408" s="5">
        <v>656</v>
      </c>
      <c r="L408" s="5">
        <v>479</v>
      </c>
      <c r="M408" s="5">
        <v>581</v>
      </c>
      <c r="N408" s="5">
        <v>595</v>
      </c>
      <c r="O408" s="5">
        <v>643</v>
      </c>
      <c r="P408" s="5">
        <v>576</v>
      </c>
      <c r="Q408" s="5">
        <v>536</v>
      </c>
      <c r="R408" s="5">
        <v>692</v>
      </c>
      <c r="S408" s="5">
        <v>699</v>
      </c>
      <c r="T408" s="5">
        <v>1173</v>
      </c>
      <c r="U408" s="5">
        <v>910</v>
      </c>
      <c r="V408" s="5">
        <v>571</v>
      </c>
      <c r="W408" s="5">
        <v>526</v>
      </c>
      <c r="X408" s="5">
        <v>424</v>
      </c>
      <c r="Y408" s="5">
        <v>493</v>
      </c>
      <c r="Z408" s="5">
        <v>554</v>
      </c>
      <c r="AA408" s="5">
        <v>500</v>
      </c>
    </row>
    <row r="409" spans="2:27" s="5" customFormat="1" x14ac:dyDescent="0.2">
      <c r="B409" s="16"/>
      <c r="C409" s="16" t="s">
        <v>3</v>
      </c>
      <c r="D409" s="40">
        <v>9.8000000000000007</v>
      </c>
      <c r="E409" s="40">
        <v>8.4</v>
      </c>
      <c r="F409" s="40">
        <v>7.7</v>
      </c>
      <c r="G409" s="5">
        <v>6.8</v>
      </c>
      <c r="H409" s="5">
        <v>7.3</v>
      </c>
      <c r="I409" s="5">
        <v>8.1</v>
      </c>
      <c r="J409" s="5">
        <v>8.6999999999999993</v>
      </c>
      <c r="K409" s="5">
        <v>8.3000000000000007</v>
      </c>
      <c r="L409" s="5">
        <v>6.3</v>
      </c>
      <c r="M409" s="5">
        <v>6.7</v>
      </c>
      <c r="N409" s="5">
        <v>8.3000000000000007</v>
      </c>
      <c r="O409" s="5">
        <v>7.4</v>
      </c>
      <c r="P409" s="5">
        <v>7.2</v>
      </c>
      <c r="Q409" s="5">
        <v>6.7</v>
      </c>
      <c r="R409" s="5">
        <v>7.2</v>
      </c>
      <c r="S409" s="5">
        <v>8.6</v>
      </c>
      <c r="T409" s="5">
        <v>13.6</v>
      </c>
      <c r="U409" s="5">
        <v>10.8</v>
      </c>
      <c r="V409" s="5">
        <v>7</v>
      </c>
      <c r="W409" s="5">
        <v>6.7</v>
      </c>
      <c r="X409" s="5">
        <v>5.8</v>
      </c>
      <c r="Y409" s="5">
        <v>5.8</v>
      </c>
      <c r="Z409" s="5">
        <v>6.6</v>
      </c>
      <c r="AA409" s="5">
        <v>7.1</v>
      </c>
    </row>
    <row r="410" spans="2:27" s="5" customFormat="1" x14ac:dyDescent="0.2">
      <c r="B410" s="16" t="s">
        <v>90</v>
      </c>
      <c r="C410" s="16" t="s">
        <v>2</v>
      </c>
      <c r="D410" s="40">
        <v>1702847</v>
      </c>
      <c r="E410" s="40">
        <v>187755</v>
      </c>
      <c r="F410" s="40">
        <v>8738</v>
      </c>
      <c r="G410" s="5">
        <v>514</v>
      </c>
      <c r="H410" s="5">
        <v>486</v>
      </c>
      <c r="I410" s="5">
        <v>413</v>
      </c>
      <c r="J410" s="5">
        <v>305</v>
      </c>
      <c r="K410" s="5">
        <v>263</v>
      </c>
      <c r="L410" s="5">
        <v>517</v>
      </c>
      <c r="M410" s="5">
        <v>456</v>
      </c>
      <c r="N410" s="5">
        <v>223</v>
      </c>
      <c r="O410" s="5">
        <v>450</v>
      </c>
      <c r="P410" s="5">
        <v>564</v>
      </c>
      <c r="Q410" s="5">
        <v>450</v>
      </c>
      <c r="R410" s="5">
        <v>528</v>
      </c>
      <c r="S410" s="5">
        <v>340</v>
      </c>
      <c r="T410" s="5">
        <v>176</v>
      </c>
      <c r="U410" s="5">
        <v>251</v>
      </c>
      <c r="V410" s="5">
        <v>377</v>
      </c>
      <c r="W410" s="5">
        <v>361</v>
      </c>
      <c r="X410" s="5">
        <v>596</v>
      </c>
      <c r="Y410" s="5">
        <v>524</v>
      </c>
      <c r="Z410" s="5">
        <v>488</v>
      </c>
      <c r="AA410" s="5">
        <v>456</v>
      </c>
    </row>
    <row r="411" spans="2:27" s="5" customFormat="1" x14ac:dyDescent="0.2">
      <c r="B411" s="16"/>
      <c r="C411" s="16" t="s">
        <v>3</v>
      </c>
      <c r="D411" s="40">
        <v>4.4000000000000004</v>
      </c>
      <c r="E411" s="40">
        <v>4.8</v>
      </c>
      <c r="F411" s="40">
        <v>5.0999999999999996</v>
      </c>
      <c r="G411" s="5">
        <v>6</v>
      </c>
      <c r="H411" s="5">
        <v>6.1</v>
      </c>
      <c r="I411" s="5">
        <v>5.3</v>
      </c>
      <c r="J411" s="5">
        <v>3.8</v>
      </c>
      <c r="K411" s="5">
        <v>3.3</v>
      </c>
      <c r="L411" s="5">
        <v>6.8</v>
      </c>
      <c r="M411" s="5">
        <v>5.2</v>
      </c>
      <c r="N411" s="5">
        <v>3.1</v>
      </c>
      <c r="O411" s="5">
        <v>5.2</v>
      </c>
      <c r="P411" s="5">
        <v>7.1</v>
      </c>
      <c r="Q411" s="5">
        <v>5.6</v>
      </c>
      <c r="R411" s="5">
        <v>5.5</v>
      </c>
      <c r="S411" s="5">
        <v>4.2</v>
      </c>
      <c r="T411" s="5">
        <v>2</v>
      </c>
      <c r="U411" s="5">
        <v>3</v>
      </c>
      <c r="V411" s="5">
        <v>4.5999999999999996</v>
      </c>
      <c r="W411" s="5">
        <v>4.5999999999999996</v>
      </c>
      <c r="X411" s="5">
        <v>8.1999999999999993</v>
      </c>
      <c r="Y411" s="5">
        <v>6.1</v>
      </c>
      <c r="Z411" s="5">
        <v>5.8</v>
      </c>
      <c r="AA411" s="5">
        <v>6.5</v>
      </c>
    </row>
    <row r="412" spans="2:27" s="5" customFormat="1" x14ac:dyDescent="0.2">
      <c r="B412" s="16" t="s">
        <v>91</v>
      </c>
      <c r="C412" s="16" t="s">
        <v>2</v>
      </c>
      <c r="D412" s="40">
        <v>1336823</v>
      </c>
      <c r="E412" s="40">
        <v>136834</v>
      </c>
      <c r="F412" s="40">
        <v>3817</v>
      </c>
      <c r="G412" s="5">
        <v>218</v>
      </c>
      <c r="H412" s="5">
        <v>175</v>
      </c>
      <c r="I412" s="5">
        <v>164</v>
      </c>
      <c r="J412" s="5">
        <v>205</v>
      </c>
      <c r="K412" s="5">
        <v>198</v>
      </c>
      <c r="L412" s="5">
        <v>140</v>
      </c>
      <c r="M412" s="5">
        <v>195</v>
      </c>
      <c r="N412" s="5">
        <v>169</v>
      </c>
      <c r="O412" s="5">
        <v>187</v>
      </c>
      <c r="P412" s="5">
        <v>159</v>
      </c>
      <c r="Q412" s="5">
        <v>165</v>
      </c>
      <c r="R412" s="5">
        <v>206</v>
      </c>
      <c r="S412" s="5">
        <v>203</v>
      </c>
      <c r="T412" s="5">
        <v>167</v>
      </c>
      <c r="U412" s="5">
        <v>204</v>
      </c>
      <c r="V412" s="5">
        <v>213</v>
      </c>
      <c r="W412" s="5">
        <v>172</v>
      </c>
      <c r="X412" s="5">
        <v>156</v>
      </c>
      <c r="Y412" s="5">
        <v>184</v>
      </c>
      <c r="Z412" s="5">
        <v>194</v>
      </c>
      <c r="AA412" s="5">
        <v>143</v>
      </c>
    </row>
    <row r="413" spans="2:27" s="5" customFormat="1" x14ac:dyDescent="0.2">
      <c r="B413" s="16"/>
      <c r="C413" s="16" t="s">
        <v>3</v>
      </c>
      <c r="D413" s="40">
        <v>3.4</v>
      </c>
      <c r="E413" s="40">
        <v>3.5</v>
      </c>
      <c r="F413" s="40">
        <v>2.2000000000000002</v>
      </c>
      <c r="G413" s="5">
        <v>2.5</v>
      </c>
      <c r="H413" s="5">
        <v>2.2000000000000002</v>
      </c>
      <c r="I413" s="5">
        <v>2.1</v>
      </c>
      <c r="J413" s="5">
        <v>2.6</v>
      </c>
      <c r="K413" s="5">
        <v>2.5</v>
      </c>
      <c r="L413" s="5">
        <v>1.8</v>
      </c>
      <c r="M413" s="5">
        <v>2.2000000000000002</v>
      </c>
      <c r="N413" s="5">
        <v>2.2999999999999998</v>
      </c>
      <c r="O413" s="5">
        <v>2.1</v>
      </c>
      <c r="P413" s="5">
        <v>2</v>
      </c>
      <c r="Q413" s="5">
        <v>2.1</v>
      </c>
      <c r="R413" s="5">
        <v>2.2000000000000002</v>
      </c>
      <c r="S413" s="5">
        <v>2.5</v>
      </c>
      <c r="T413" s="5">
        <v>1.9</v>
      </c>
      <c r="U413" s="5">
        <v>2.4</v>
      </c>
      <c r="V413" s="5">
        <v>2.6</v>
      </c>
      <c r="W413" s="5">
        <v>2.2000000000000002</v>
      </c>
      <c r="X413" s="5">
        <v>2.1</v>
      </c>
      <c r="Y413" s="5">
        <v>2.2000000000000002</v>
      </c>
      <c r="Z413" s="5">
        <v>2.2999999999999998</v>
      </c>
      <c r="AA413" s="5">
        <v>2</v>
      </c>
    </row>
    <row r="414" spans="2:27" s="5" customFormat="1" x14ac:dyDescent="0.2">
      <c r="B414" s="16" t="s">
        <v>92</v>
      </c>
      <c r="C414" s="16" t="s">
        <v>2</v>
      </c>
      <c r="D414" s="40">
        <v>11698240</v>
      </c>
      <c r="E414" s="40">
        <v>1225244</v>
      </c>
      <c r="F414" s="40">
        <v>57099</v>
      </c>
      <c r="G414" s="5">
        <v>2633</v>
      </c>
      <c r="H414" s="5">
        <v>2528</v>
      </c>
      <c r="I414" s="5">
        <v>2683</v>
      </c>
      <c r="J414" s="5">
        <v>2382</v>
      </c>
      <c r="K414" s="5">
        <v>2489</v>
      </c>
      <c r="L414" s="5">
        <v>3201</v>
      </c>
      <c r="M414" s="5">
        <v>2992</v>
      </c>
      <c r="N414" s="5">
        <v>2449</v>
      </c>
      <c r="O414" s="5">
        <v>2683</v>
      </c>
      <c r="P414" s="5">
        <v>2383</v>
      </c>
      <c r="Q414" s="5">
        <v>3138</v>
      </c>
      <c r="R414" s="5">
        <v>3372</v>
      </c>
      <c r="S414" s="5">
        <v>2340</v>
      </c>
      <c r="T414" s="5">
        <v>2724</v>
      </c>
      <c r="U414" s="5">
        <v>2278</v>
      </c>
      <c r="V414" s="5">
        <v>2682</v>
      </c>
      <c r="W414" s="5">
        <v>2683</v>
      </c>
      <c r="X414" s="5">
        <v>2806</v>
      </c>
      <c r="Y414" s="5">
        <v>3212</v>
      </c>
      <c r="Z414" s="5">
        <v>2753</v>
      </c>
      <c r="AA414" s="5">
        <v>2688</v>
      </c>
    </row>
    <row r="415" spans="2:27" s="5" customFormat="1" x14ac:dyDescent="0.2">
      <c r="B415" s="16"/>
      <c r="C415" s="16" t="s">
        <v>3</v>
      </c>
      <c r="D415" s="40">
        <v>30.1</v>
      </c>
      <c r="E415" s="40">
        <v>31.6</v>
      </c>
      <c r="F415" s="40">
        <v>33.5</v>
      </c>
      <c r="G415" s="5">
        <v>30.7</v>
      </c>
      <c r="H415" s="5">
        <v>31.6</v>
      </c>
      <c r="I415" s="5">
        <v>34.200000000000003</v>
      </c>
      <c r="J415" s="5">
        <v>30.1</v>
      </c>
      <c r="K415" s="5">
        <v>31.7</v>
      </c>
      <c r="L415" s="5">
        <v>42</v>
      </c>
      <c r="M415" s="5">
        <v>34.299999999999997</v>
      </c>
      <c r="N415" s="5">
        <v>34</v>
      </c>
      <c r="O415" s="5">
        <v>30.8</v>
      </c>
      <c r="P415" s="5">
        <v>29.9</v>
      </c>
      <c r="Q415" s="5">
        <v>39.200000000000003</v>
      </c>
      <c r="R415" s="5">
        <v>35.200000000000003</v>
      </c>
      <c r="S415" s="5">
        <v>28.9</v>
      </c>
      <c r="T415" s="5">
        <v>31.6</v>
      </c>
      <c r="U415" s="5">
        <v>27</v>
      </c>
      <c r="V415" s="5">
        <v>33</v>
      </c>
      <c r="W415" s="5">
        <v>34.1</v>
      </c>
      <c r="X415" s="5">
        <v>38.5</v>
      </c>
      <c r="Y415" s="5">
        <v>37.700000000000003</v>
      </c>
      <c r="Z415" s="5">
        <v>32.9</v>
      </c>
      <c r="AA415" s="5">
        <v>38.1</v>
      </c>
    </row>
    <row r="416" spans="2:27" s="5" customFormat="1" x14ac:dyDescent="0.2">
      <c r="B416" s="16" t="s">
        <v>93</v>
      </c>
      <c r="C416" s="16" t="s">
        <v>2</v>
      </c>
      <c r="D416" s="40">
        <v>5320691</v>
      </c>
      <c r="E416" s="40">
        <v>570173</v>
      </c>
      <c r="F416" s="40">
        <v>28008</v>
      </c>
      <c r="G416" s="5">
        <v>1192</v>
      </c>
      <c r="H416" s="5">
        <v>1160</v>
      </c>
      <c r="I416" s="5">
        <v>1353</v>
      </c>
      <c r="J416" s="5">
        <v>1366</v>
      </c>
      <c r="K416" s="5">
        <v>1531</v>
      </c>
      <c r="L416" s="5">
        <v>1238</v>
      </c>
      <c r="M416" s="5">
        <v>1198</v>
      </c>
      <c r="N416" s="5">
        <v>1542</v>
      </c>
      <c r="O416" s="5">
        <v>1237</v>
      </c>
      <c r="P416" s="5">
        <v>931</v>
      </c>
      <c r="Q416" s="5">
        <v>1522</v>
      </c>
      <c r="R416" s="5">
        <v>1422</v>
      </c>
      <c r="S416" s="5">
        <v>1169</v>
      </c>
      <c r="T416" s="5">
        <v>1818</v>
      </c>
      <c r="U416" s="5">
        <v>1398</v>
      </c>
      <c r="V416" s="5">
        <v>1563</v>
      </c>
      <c r="W416" s="5">
        <v>1324</v>
      </c>
      <c r="X416" s="5">
        <v>1019</v>
      </c>
      <c r="Y416" s="5">
        <v>1480</v>
      </c>
      <c r="Z416" s="5">
        <v>1299</v>
      </c>
      <c r="AA416" s="5">
        <v>1246</v>
      </c>
    </row>
    <row r="417" spans="2:27" s="5" customFormat="1" x14ac:dyDescent="0.2">
      <c r="B417" s="16"/>
      <c r="C417" s="16" t="s">
        <v>3</v>
      </c>
      <c r="D417" s="40">
        <v>13.7</v>
      </c>
      <c r="E417" s="40">
        <v>14.7</v>
      </c>
      <c r="F417" s="40">
        <v>16.399999999999999</v>
      </c>
      <c r="G417" s="5">
        <v>13.9</v>
      </c>
      <c r="H417" s="5">
        <v>14.5</v>
      </c>
      <c r="I417" s="5">
        <v>17.2</v>
      </c>
      <c r="J417" s="5">
        <v>17.2</v>
      </c>
      <c r="K417" s="5">
        <v>19.5</v>
      </c>
      <c r="L417" s="5">
        <v>16.2</v>
      </c>
      <c r="M417" s="5">
        <v>13.7</v>
      </c>
      <c r="N417" s="5">
        <v>21.4</v>
      </c>
      <c r="O417" s="5">
        <v>14.2</v>
      </c>
      <c r="P417" s="5">
        <v>11.7</v>
      </c>
      <c r="Q417" s="5">
        <v>19</v>
      </c>
      <c r="R417" s="5">
        <v>14.9</v>
      </c>
      <c r="S417" s="5">
        <v>14.4</v>
      </c>
      <c r="T417" s="5">
        <v>21.1</v>
      </c>
      <c r="U417" s="5">
        <v>16.600000000000001</v>
      </c>
      <c r="V417" s="5">
        <v>19.2</v>
      </c>
      <c r="W417" s="5">
        <v>16.8</v>
      </c>
      <c r="X417" s="5">
        <v>14</v>
      </c>
      <c r="Y417" s="5">
        <v>17.3</v>
      </c>
      <c r="Z417" s="5">
        <v>15.5</v>
      </c>
      <c r="AA417" s="5">
        <v>17.600000000000001</v>
      </c>
    </row>
    <row r="418" spans="2:27" s="5" customFormat="1" x14ac:dyDescent="0.2">
      <c r="B418" s="16" t="s">
        <v>94</v>
      </c>
      <c r="C418" s="16" t="s">
        <v>2</v>
      </c>
      <c r="D418" s="40">
        <v>2255831</v>
      </c>
      <c r="E418" s="40">
        <v>228653</v>
      </c>
      <c r="F418" s="40">
        <v>6225</v>
      </c>
      <c r="G418" s="5">
        <v>353</v>
      </c>
      <c r="H418" s="5">
        <v>283</v>
      </c>
      <c r="I418" s="5">
        <v>276</v>
      </c>
      <c r="J418" s="5">
        <v>274</v>
      </c>
      <c r="K418" s="5">
        <v>296</v>
      </c>
      <c r="L418" s="5">
        <v>276</v>
      </c>
      <c r="M418" s="5">
        <v>327</v>
      </c>
      <c r="N418" s="5">
        <v>266</v>
      </c>
      <c r="O418" s="5">
        <v>314</v>
      </c>
      <c r="P418" s="5">
        <v>292</v>
      </c>
      <c r="Q418" s="5">
        <v>261</v>
      </c>
      <c r="R418" s="5">
        <v>328</v>
      </c>
      <c r="S418" s="5">
        <v>326</v>
      </c>
      <c r="T418" s="5">
        <v>328</v>
      </c>
      <c r="U418" s="5">
        <v>278</v>
      </c>
      <c r="V418" s="5">
        <v>251</v>
      </c>
      <c r="W418" s="5">
        <v>309</v>
      </c>
      <c r="X418" s="5">
        <v>315</v>
      </c>
      <c r="Y418" s="5">
        <v>324</v>
      </c>
      <c r="Z418" s="5">
        <v>271</v>
      </c>
      <c r="AA418" s="5">
        <v>277</v>
      </c>
    </row>
    <row r="419" spans="2:27" s="5" customFormat="1" x14ac:dyDescent="0.2">
      <c r="B419" s="16"/>
      <c r="C419" s="16" t="s">
        <v>3</v>
      </c>
      <c r="D419" s="40">
        <v>5.8</v>
      </c>
      <c r="E419" s="40">
        <v>5.9</v>
      </c>
      <c r="F419" s="40">
        <v>3.7</v>
      </c>
      <c r="G419" s="5">
        <v>4.0999999999999996</v>
      </c>
      <c r="H419" s="5">
        <v>3.5</v>
      </c>
      <c r="I419" s="5">
        <v>3.5</v>
      </c>
      <c r="J419" s="5">
        <v>3.5</v>
      </c>
      <c r="K419" s="5">
        <v>3.8</v>
      </c>
      <c r="L419" s="5">
        <v>3.6</v>
      </c>
      <c r="M419" s="5">
        <v>3.7</v>
      </c>
      <c r="N419" s="5">
        <v>3.7</v>
      </c>
      <c r="O419" s="5">
        <v>3.6</v>
      </c>
      <c r="P419" s="5">
        <v>3.7</v>
      </c>
      <c r="Q419" s="5">
        <v>3.3</v>
      </c>
      <c r="R419" s="5">
        <v>3.4</v>
      </c>
      <c r="S419" s="5">
        <v>4</v>
      </c>
      <c r="T419" s="5">
        <v>3.8</v>
      </c>
      <c r="U419" s="5">
        <v>3.3</v>
      </c>
      <c r="V419" s="5">
        <v>3.1</v>
      </c>
      <c r="W419" s="5">
        <v>3.9</v>
      </c>
      <c r="X419" s="5">
        <v>4.3</v>
      </c>
      <c r="Y419" s="5">
        <v>3.8</v>
      </c>
      <c r="Z419" s="5">
        <v>3.2</v>
      </c>
      <c r="AA419" s="5">
        <v>3.9</v>
      </c>
    </row>
    <row r="420" spans="2:27" s="5" customFormat="1" x14ac:dyDescent="0.2">
      <c r="B420" s="16" t="s">
        <v>95</v>
      </c>
      <c r="C420" s="16" t="s">
        <v>2</v>
      </c>
      <c r="D420" s="40">
        <v>1695134</v>
      </c>
      <c r="E420" s="40">
        <v>166214</v>
      </c>
      <c r="F420" s="40">
        <v>7435</v>
      </c>
      <c r="G420" s="5">
        <v>310</v>
      </c>
      <c r="H420" s="5">
        <v>368</v>
      </c>
      <c r="I420" s="5">
        <v>370</v>
      </c>
      <c r="J420" s="5">
        <v>265</v>
      </c>
      <c r="K420" s="5">
        <v>225</v>
      </c>
      <c r="L420" s="5">
        <v>504</v>
      </c>
      <c r="M420" s="5">
        <v>457</v>
      </c>
      <c r="N420" s="5">
        <v>213</v>
      </c>
      <c r="O420" s="5">
        <v>387</v>
      </c>
      <c r="P420" s="5">
        <v>354</v>
      </c>
      <c r="Q420" s="5">
        <v>387</v>
      </c>
      <c r="R420" s="5">
        <v>495</v>
      </c>
      <c r="S420" s="5">
        <v>267</v>
      </c>
      <c r="T420" s="5">
        <v>244</v>
      </c>
      <c r="U420" s="5">
        <v>260</v>
      </c>
      <c r="V420" s="5">
        <v>284</v>
      </c>
      <c r="W420" s="5">
        <v>365</v>
      </c>
      <c r="X420" s="5">
        <v>500</v>
      </c>
      <c r="Y420" s="5">
        <v>434</v>
      </c>
      <c r="Z420" s="5">
        <v>396</v>
      </c>
      <c r="AA420" s="5">
        <v>350</v>
      </c>
    </row>
    <row r="421" spans="2:27" s="5" customFormat="1" x14ac:dyDescent="0.2">
      <c r="B421" s="16"/>
      <c r="C421" s="16" t="s">
        <v>3</v>
      </c>
      <c r="D421" s="40">
        <v>4.4000000000000004</v>
      </c>
      <c r="E421" s="40">
        <v>4.3</v>
      </c>
      <c r="F421" s="40">
        <v>4.4000000000000004</v>
      </c>
      <c r="G421" s="5">
        <v>3.6</v>
      </c>
      <c r="H421" s="5">
        <v>4.5999999999999996</v>
      </c>
      <c r="I421" s="5">
        <v>4.7</v>
      </c>
      <c r="J421" s="5">
        <v>3.3</v>
      </c>
      <c r="K421" s="5">
        <v>2.9</v>
      </c>
      <c r="L421" s="5">
        <v>6.6</v>
      </c>
      <c r="M421" s="5">
        <v>5.2</v>
      </c>
      <c r="N421" s="5">
        <v>3</v>
      </c>
      <c r="O421" s="5">
        <v>4.4000000000000004</v>
      </c>
      <c r="P421" s="5">
        <v>4.4000000000000004</v>
      </c>
      <c r="Q421" s="5">
        <v>4.8</v>
      </c>
      <c r="R421" s="5">
        <v>5.2</v>
      </c>
      <c r="S421" s="5">
        <v>3.3</v>
      </c>
      <c r="T421" s="5">
        <v>2.8</v>
      </c>
      <c r="U421" s="5">
        <v>3.1</v>
      </c>
      <c r="V421" s="5">
        <v>3.5</v>
      </c>
      <c r="W421" s="5">
        <v>4.5999999999999996</v>
      </c>
      <c r="X421" s="5">
        <v>6.9</v>
      </c>
      <c r="Y421" s="5">
        <v>5.0999999999999996</v>
      </c>
      <c r="Z421" s="5">
        <v>4.7</v>
      </c>
      <c r="AA421" s="5">
        <v>5</v>
      </c>
    </row>
    <row r="422" spans="2:27" s="5" customFormat="1" x14ac:dyDescent="0.2">
      <c r="B422" s="16" t="s">
        <v>96</v>
      </c>
      <c r="C422" s="16" t="s">
        <v>2</v>
      </c>
      <c r="D422" s="40">
        <v>1574134</v>
      </c>
      <c r="E422" s="40">
        <v>174493</v>
      </c>
      <c r="F422" s="40">
        <v>11925</v>
      </c>
      <c r="G422" s="5">
        <v>535</v>
      </c>
      <c r="H422" s="5">
        <v>562</v>
      </c>
      <c r="I422" s="5">
        <v>534</v>
      </c>
      <c r="J422" s="5">
        <v>377</v>
      </c>
      <c r="K422" s="5">
        <v>325</v>
      </c>
      <c r="L422" s="5">
        <v>919</v>
      </c>
      <c r="M422" s="5">
        <v>788</v>
      </c>
      <c r="N422" s="5">
        <v>330</v>
      </c>
      <c r="O422" s="5">
        <v>582</v>
      </c>
      <c r="P422" s="5">
        <v>590</v>
      </c>
      <c r="Q422" s="5">
        <v>783</v>
      </c>
      <c r="R422" s="5">
        <v>908</v>
      </c>
      <c r="S422" s="5">
        <v>419</v>
      </c>
      <c r="T422" s="5">
        <v>254</v>
      </c>
      <c r="U422" s="5">
        <v>246</v>
      </c>
      <c r="V422" s="5">
        <v>443</v>
      </c>
      <c r="W422" s="5">
        <v>550</v>
      </c>
      <c r="X422" s="5">
        <v>758</v>
      </c>
      <c r="Y422" s="5">
        <v>806</v>
      </c>
      <c r="Z422" s="5">
        <v>584</v>
      </c>
      <c r="AA422" s="5">
        <v>632</v>
      </c>
    </row>
    <row r="423" spans="2:27" s="5" customFormat="1" x14ac:dyDescent="0.2">
      <c r="B423" s="16"/>
      <c r="C423" s="16" t="s">
        <v>3</v>
      </c>
      <c r="D423" s="40">
        <v>4</v>
      </c>
      <c r="E423" s="40">
        <v>4.5</v>
      </c>
      <c r="F423" s="40">
        <v>7</v>
      </c>
      <c r="G423" s="5">
        <v>6.2</v>
      </c>
      <c r="H423" s="5">
        <v>7</v>
      </c>
      <c r="I423" s="5">
        <v>6.8</v>
      </c>
      <c r="J423" s="5">
        <v>4.8</v>
      </c>
      <c r="K423" s="5">
        <v>4.0999999999999996</v>
      </c>
      <c r="L423" s="5">
        <v>12.1</v>
      </c>
      <c r="M423" s="5">
        <v>9</v>
      </c>
      <c r="N423" s="5">
        <v>4.5999999999999996</v>
      </c>
      <c r="O423" s="5">
        <v>6.7</v>
      </c>
      <c r="P423" s="5">
        <v>7.4</v>
      </c>
      <c r="Q423" s="5">
        <v>9.8000000000000007</v>
      </c>
      <c r="R423" s="5">
        <v>9.5</v>
      </c>
      <c r="S423" s="5">
        <v>5.2</v>
      </c>
      <c r="T423" s="5">
        <v>2.9</v>
      </c>
      <c r="U423" s="5">
        <v>2.9</v>
      </c>
      <c r="V423" s="5">
        <v>5.5</v>
      </c>
      <c r="W423" s="5">
        <v>7</v>
      </c>
      <c r="X423" s="5">
        <v>10.4</v>
      </c>
      <c r="Y423" s="5">
        <v>9.4</v>
      </c>
      <c r="Z423" s="5">
        <v>7</v>
      </c>
      <c r="AA423" s="5">
        <v>9</v>
      </c>
    </row>
    <row r="424" spans="2:27" s="5" customFormat="1" x14ac:dyDescent="0.2">
      <c r="B424" s="16" t="s">
        <v>97</v>
      </c>
      <c r="C424" s="16" t="s">
        <v>2</v>
      </c>
      <c r="D424" s="40">
        <v>852450</v>
      </c>
      <c r="E424" s="40">
        <v>85711</v>
      </c>
      <c r="F424" s="40">
        <v>3506</v>
      </c>
      <c r="G424" s="5">
        <v>243</v>
      </c>
      <c r="H424" s="5">
        <v>155</v>
      </c>
      <c r="I424" s="5">
        <v>150</v>
      </c>
      <c r="J424" s="5">
        <v>100</v>
      </c>
      <c r="K424" s="5">
        <v>112</v>
      </c>
      <c r="L424" s="5">
        <v>264</v>
      </c>
      <c r="M424" s="5">
        <v>222</v>
      </c>
      <c r="N424" s="5">
        <v>98</v>
      </c>
      <c r="O424" s="5">
        <v>163</v>
      </c>
      <c r="P424" s="5">
        <v>216</v>
      </c>
      <c r="Q424" s="5">
        <v>185</v>
      </c>
      <c r="R424" s="5">
        <v>219</v>
      </c>
      <c r="S424" s="5">
        <v>159</v>
      </c>
      <c r="T424" s="5">
        <v>80</v>
      </c>
      <c r="U424" s="5">
        <v>96</v>
      </c>
      <c r="V424" s="5">
        <v>141</v>
      </c>
      <c r="W424" s="5">
        <v>135</v>
      </c>
      <c r="X424" s="5">
        <v>214</v>
      </c>
      <c r="Y424" s="5">
        <v>168</v>
      </c>
      <c r="Z424" s="5">
        <v>203</v>
      </c>
      <c r="AA424" s="5">
        <v>183</v>
      </c>
    </row>
    <row r="425" spans="2:27" s="5" customFormat="1" x14ac:dyDescent="0.2">
      <c r="B425" s="16"/>
      <c r="C425" s="16" t="s">
        <v>3</v>
      </c>
      <c r="D425" s="40">
        <v>2.2000000000000002</v>
      </c>
      <c r="E425" s="40">
        <v>2.2000000000000002</v>
      </c>
      <c r="F425" s="40">
        <v>2.1</v>
      </c>
      <c r="G425" s="5">
        <v>2.8</v>
      </c>
      <c r="H425" s="5">
        <v>1.9</v>
      </c>
      <c r="I425" s="5">
        <v>1.9</v>
      </c>
      <c r="J425" s="5">
        <v>1.3</v>
      </c>
      <c r="K425" s="5">
        <v>1.4</v>
      </c>
      <c r="L425" s="5">
        <v>3.5</v>
      </c>
      <c r="M425" s="5">
        <v>2.5</v>
      </c>
      <c r="N425" s="5">
        <v>1.4</v>
      </c>
      <c r="O425" s="5">
        <v>1.9</v>
      </c>
      <c r="P425" s="5">
        <v>2.7</v>
      </c>
      <c r="Q425" s="5">
        <v>2.2999999999999998</v>
      </c>
      <c r="R425" s="5">
        <v>2.2999999999999998</v>
      </c>
      <c r="S425" s="5">
        <v>2</v>
      </c>
      <c r="T425" s="5">
        <v>0.9</v>
      </c>
      <c r="U425" s="5">
        <v>1.1000000000000001</v>
      </c>
      <c r="V425" s="5">
        <v>1.7</v>
      </c>
      <c r="W425" s="5">
        <v>1.7</v>
      </c>
      <c r="X425" s="5">
        <v>2.9</v>
      </c>
      <c r="Y425" s="5">
        <v>2</v>
      </c>
      <c r="Z425" s="5">
        <v>2.4</v>
      </c>
      <c r="AA425" s="5">
        <v>2.6</v>
      </c>
    </row>
    <row r="426" spans="2:27" s="5" customFormat="1" x14ac:dyDescent="0.2">
      <c r="B426" s="16" t="s">
        <v>98</v>
      </c>
      <c r="C426" s="16" t="s">
        <v>2</v>
      </c>
      <c r="D426" s="40">
        <v>471666</v>
      </c>
      <c r="E426" s="40">
        <v>56251</v>
      </c>
      <c r="F426" s="40">
        <v>2942</v>
      </c>
      <c r="G426" s="5">
        <v>167</v>
      </c>
      <c r="H426" s="5">
        <v>168</v>
      </c>
      <c r="I426" s="5">
        <v>150</v>
      </c>
      <c r="J426" s="5">
        <v>92</v>
      </c>
      <c r="K426" s="5">
        <v>81</v>
      </c>
      <c r="L426" s="5">
        <v>212</v>
      </c>
      <c r="M426" s="5">
        <v>173</v>
      </c>
      <c r="N426" s="5">
        <v>80</v>
      </c>
      <c r="O426" s="5">
        <v>130</v>
      </c>
      <c r="P426" s="5">
        <v>181</v>
      </c>
      <c r="Q426" s="5">
        <v>142</v>
      </c>
      <c r="R426" s="5">
        <v>179</v>
      </c>
      <c r="S426" s="5">
        <v>93</v>
      </c>
      <c r="T426" s="5">
        <v>46</v>
      </c>
      <c r="U426" s="5">
        <v>77</v>
      </c>
      <c r="V426" s="5">
        <v>135</v>
      </c>
      <c r="W426" s="5">
        <v>129</v>
      </c>
      <c r="X426" s="5">
        <v>211</v>
      </c>
      <c r="Y426" s="5">
        <v>184</v>
      </c>
      <c r="Z426" s="5">
        <v>145</v>
      </c>
      <c r="AA426" s="5">
        <v>167</v>
      </c>
    </row>
    <row r="427" spans="2:27" s="5" customFormat="1" x14ac:dyDescent="0.2">
      <c r="B427" s="16"/>
      <c r="C427" s="16" t="s">
        <v>3</v>
      </c>
      <c r="D427" s="40">
        <v>1.2</v>
      </c>
      <c r="E427" s="40">
        <v>1.5</v>
      </c>
      <c r="F427" s="40">
        <v>1.7</v>
      </c>
      <c r="G427" s="5">
        <v>1.9</v>
      </c>
      <c r="H427" s="5">
        <v>2.1</v>
      </c>
      <c r="I427" s="5">
        <v>1.9</v>
      </c>
      <c r="J427" s="5">
        <v>1.2</v>
      </c>
      <c r="K427" s="5">
        <v>1</v>
      </c>
      <c r="L427" s="5">
        <v>2.8</v>
      </c>
      <c r="M427" s="5">
        <v>2</v>
      </c>
      <c r="N427" s="5">
        <v>1.1000000000000001</v>
      </c>
      <c r="O427" s="5">
        <v>1.5</v>
      </c>
      <c r="P427" s="5">
        <v>2.2999999999999998</v>
      </c>
      <c r="Q427" s="5">
        <v>1.8</v>
      </c>
      <c r="R427" s="5">
        <v>1.9</v>
      </c>
      <c r="S427" s="5">
        <v>1.1000000000000001</v>
      </c>
      <c r="T427" s="5">
        <v>0.5</v>
      </c>
      <c r="U427" s="5">
        <v>0.9</v>
      </c>
      <c r="V427" s="5">
        <v>1.7</v>
      </c>
      <c r="W427" s="5">
        <v>1.6</v>
      </c>
      <c r="X427" s="5">
        <v>2.9</v>
      </c>
      <c r="Y427" s="5">
        <v>2.2000000000000002</v>
      </c>
      <c r="Z427" s="5">
        <v>1.7</v>
      </c>
      <c r="AA427" s="5">
        <v>2.4</v>
      </c>
    </row>
    <row r="428" spans="2:27" s="5" customFormat="1" x14ac:dyDescent="0.2">
      <c r="B428" s="16" t="s">
        <v>99</v>
      </c>
      <c r="C428" s="16" t="s">
        <v>2</v>
      </c>
      <c r="D428" s="40">
        <v>315863</v>
      </c>
      <c r="E428" s="40">
        <v>32216</v>
      </c>
      <c r="F428" s="40">
        <v>1349</v>
      </c>
      <c r="G428" s="5">
        <v>62</v>
      </c>
      <c r="H428" s="5">
        <v>61</v>
      </c>
      <c r="I428" s="5">
        <v>61</v>
      </c>
      <c r="J428" s="5">
        <v>64</v>
      </c>
      <c r="K428" s="5">
        <v>50</v>
      </c>
      <c r="L428" s="5">
        <v>58</v>
      </c>
      <c r="M428" s="5">
        <v>67</v>
      </c>
      <c r="N428" s="5">
        <v>35</v>
      </c>
      <c r="O428" s="5">
        <v>81</v>
      </c>
      <c r="P428" s="5">
        <v>88</v>
      </c>
      <c r="Q428" s="5">
        <v>68</v>
      </c>
      <c r="R428" s="5">
        <v>84</v>
      </c>
      <c r="S428" s="5">
        <v>66</v>
      </c>
      <c r="T428" s="5">
        <v>50</v>
      </c>
      <c r="U428" s="5">
        <v>54</v>
      </c>
      <c r="V428" s="5">
        <v>66</v>
      </c>
      <c r="W428" s="5">
        <v>51</v>
      </c>
      <c r="X428" s="5">
        <v>79</v>
      </c>
      <c r="Y428" s="5">
        <v>64</v>
      </c>
      <c r="Z428" s="5">
        <v>84</v>
      </c>
      <c r="AA428" s="5">
        <v>56</v>
      </c>
    </row>
    <row r="429" spans="2:27" s="5" customFormat="1" x14ac:dyDescent="0.2">
      <c r="B429" s="16"/>
      <c r="C429" s="16" t="s">
        <v>3</v>
      </c>
      <c r="D429" s="40">
        <v>0.8</v>
      </c>
      <c r="E429" s="40">
        <v>0.8</v>
      </c>
      <c r="F429" s="40">
        <v>0.8</v>
      </c>
      <c r="G429" s="5">
        <v>0.7</v>
      </c>
      <c r="H429" s="5">
        <v>0.8</v>
      </c>
      <c r="I429" s="5">
        <v>0.8</v>
      </c>
      <c r="J429" s="5">
        <v>0.8</v>
      </c>
      <c r="K429" s="5">
        <v>0.6</v>
      </c>
      <c r="L429" s="5">
        <v>0.8</v>
      </c>
      <c r="M429" s="5">
        <v>0.8</v>
      </c>
      <c r="N429" s="5">
        <v>0.5</v>
      </c>
      <c r="O429" s="5">
        <v>0.9</v>
      </c>
      <c r="P429" s="5">
        <v>1.1000000000000001</v>
      </c>
      <c r="Q429" s="5">
        <v>0.9</v>
      </c>
      <c r="R429" s="5">
        <v>0.9</v>
      </c>
      <c r="S429" s="5">
        <v>0.8</v>
      </c>
      <c r="T429" s="5">
        <v>0.6</v>
      </c>
      <c r="U429" s="5">
        <v>0.6</v>
      </c>
      <c r="V429" s="5">
        <v>0.8</v>
      </c>
      <c r="W429" s="5">
        <v>0.6</v>
      </c>
      <c r="X429" s="5">
        <v>1.1000000000000001</v>
      </c>
      <c r="Y429" s="5">
        <v>0.8</v>
      </c>
      <c r="Z429" s="5">
        <v>1</v>
      </c>
      <c r="AA429" s="5">
        <v>0.8</v>
      </c>
    </row>
    <row r="430" spans="2:27" s="5" customFormat="1" x14ac:dyDescent="0.2">
      <c r="B430" s="16" t="s">
        <v>100</v>
      </c>
      <c r="C430" s="16" t="s">
        <v>2</v>
      </c>
      <c r="D430" s="40">
        <v>276121</v>
      </c>
      <c r="E430" s="40">
        <v>32785</v>
      </c>
      <c r="F430" s="40">
        <v>1639</v>
      </c>
      <c r="G430" s="5">
        <v>89</v>
      </c>
      <c r="H430" s="5">
        <v>98</v>
      </c>
      <c r="I430" s="5">
        <v>76</v>
      </c>
      <c r="J430" s="5">
        <v>49</v>
      </c>
      <c r="K430" s="5">
        <v>44</v>
      </c>
      <c r="L430" s="5">
        <v>97</v>
      </c>
      <c r="M430" s="5">
        <v>87</v>
      </c>
      <c r="N430" s="5">
        <v>42</v>
      </c>
      <c r="O430" s="5">
        <v>83</v>
      </c>
      <c r="P430" s="5">
        <v>104</v>
      </c>
      <c r="Q430" s="5">
        <v>91</v>
      </c>
      <c r="R430" s="5">
        <v>112</v>
      </c>
      <c r="S430" s="5">
        <v>58</v>
      </c>
      <c r="T430" s="5">
        <v>18</v>
      </c>
      <c r="U430" s="5">
        <v>35</v>
      </c>
      <c r="V430" s="5">
        <v>67</v>
      </c>
      <c r="W430" s="5">
        <v>56</v>
      </c>
      <c r="X430" s="5">
        <v>130</v>
      </c>
      <c r="Y430" s="5">
        <v>103</v>
      </c>
      <c r="Z430" s="5">
        <v>79</v>
      </c>
      <c r="AA430" s="5">
        <v>121</v>
      </c>
    </row>
    <row r="431" spans="2:27" s="5" customFormat="1" x14ac:dyDescent="0.2">
      <c r="B431" s="16"/>
      <c r="C431" s="16" t="s">
        <v>3</v>
      </c>
      <c r="D431" s="40">
        <v>0.7</v>
      </c>
      <c r="E431" s="40">
        <v>0.8</v>
      </c>
      <c r="F431" s="40">
        <v>1</v>
      </c>
      <c r="G431" s="5">
        <v>1</v>
      </c>
      <c r="H431" s="5">
        <v>1.2</v>
      </c>
      <c r="I431" s="5">
        <v>1</v>
      </c>
      <c r="J431" s="5">
        <v>0.6</v>
      </c>
      <c r="K431" s="5">
        <v>0.6</v>
      </c>
      <c r="L431" s="5">
        <v>1.3</v>
      </c>
      <c r="M431" s="5">
        <v>1</v>
      </c>
      <c r="N431" s="5">
        <v>0.6</v>
      </c>
      <c r="O431" s="5">
        <v>1</v>
      </c>
      <c r="P431" s="5">
        <v>1.3</v>
      </c>
      <c r="Q431" s="5">
        <v>1.1000000000000001</v>
      </c>
      <c r="R431" s="5">
        <v>1.2</v>
      </c>
      <c r="S431" s="5">
        <v>0.7</v>
      </c>
      <c r="T431" s="5">
        <v>0.2</v>
      </c>
      <c r="U431" s="5">
        <v>0.4</v>
      </c>
      <c r="V431" s="5">
        <v>0.8</v>
      </c>
      <c r="W431" s="5">
        <v>0.7</v>
      </c>
      <c r="X431" s="5">
        <v>1.8</v>
      </c>
      <c r="Y431" s="5">
        <v>1.2</v>
      </c>
      <c r="Z431" s="5">
        <v>0.9</v>
      </c>
      <c r="AA431" s="5">
        <v>1.7</v>
      </c>
    </row>
    <row r="432" spans="2:27" s="5" customFormat="1" x14ac:dyDescent="0.2">
      <c r="B432" s="16" t="s">
        <v>101</v>
      </c>
      <c r="C432" s="16" t="s">
        <v>2</v>
      </c>
      <c r="D432" s="40">
        <v>668496</v>
      </c>
      <c r="E432" s="40">
        <v>75113</v>
      </c>
      <c r="F432" s="40">
        <v>3577</v>
      </c>
      <c r="G432" s="5">
        <v>201</v>
      </c>
      <c r="H432" s="5">
        <v>172</v>
      </c>
      <c r="I432" s="5">
        <v>176</v>
      </c>
      <c r="J432" s="5">
        <v>112</v>
      </c>
      <c r="K432" s="5">
        <v>112</v>
      </c>
      <c r="L432" s="5">
        <v>209</v>
      </c>
      <c r="M432" s="5">
        <v>179</v>
      </c>
      <c r="N432" s="5">
        <v>80</v>
      </c>
      <c r="O432" s="5">
        <v>202</v>
      </c>
      <c r="P432" s="5">
        <v>242</v>
      </c>
      <c r="Q432" s="5">
        <v>216</v>
      </c>
      <c r="R432" s="5">
        <v>197</v>
      </c>
      <c r="S432" s="5">
        <v>141</v>
      </c>
      <c r="T432" s="5">
        <v>69</v>
      </c>
      <c r="U432" s="5">
        <v>98</v>
      </c>
      <c r="V432" s="5">
        <v>155</v>
      </c>
      <c r="W432" s="5">
        <v>147</v>
      </c>
      <c r="X432" s="5">
        <v>261</v>
      </c>
      <c r="Y432" s="5">
        <v>240</v>
      </c>
      <c r="Z432" s="5">
        <v>194</v>
      </c>
      <c r="AA432" s="5">
        <v>174</v>
      </c>
    </row>
    <row r="433" spans="1:30" s="5" customFormat="1" x14ac:dyDescent="0.2">
      <c r="B433" s="16"/>
      <c r="C433" s="16" t="s">
        <v>3</v>
      </c>
      <c r="D433" s="40">
        <v>1.7</v>
      </c>
      <c r="E433" s="40">
        <v>1.9</v>
      </c>
      <c r="F433" s="40">
        <v>2.1</v>
      </c>
      <c r="G433" s="5">
        <v>2.2999999999999998</v>
      </c>
      <c r="H433" s="5">
        <v>2.1</v>
      </c>
      <c r="I433" s="5">
        <v>2.2000000000000002</v>
      </c>
      <c r="J433" s="5">
        <v>1.4</v>
      </c>
      <c r="K433" s="5">
        <v>1.4</v>
      </c>
      <c r="L433" s="5">
        <v>2.7</v>
      </c>
      <c r="M433" s="5">
        <v>2.1</v>
      </c>
      <c r="N433" s="5">
        <v>1.1000000000000001</v>
      </c>
      <c r="O433" s="5">
        <v>2.2999999999999998</v>
      </c>
      <c r="P433" s="5">
        <v>3</v>
      </c>
      <c r="Q433" s="5">
        <v>2.7</v>
      </c>
      <c r="R433" s="5">
        <v>2.1</v>
      </c>
      <c r="S433" s="5">
        <v>1.7</v>
      </c>
      <c r="T433" s="5">
        <v>0.8</v>
      </c>
      <c r="U433" s="5">
        <v>1.2</v>
      </c>
      <c r="V433" s="5">
        <v>1.9</v>
      </c>
      <c r="W433" s="5">
        <v>1.9</v>
      </c>
      <c r="X433" s="5">
        <v>3.6</v>
      </c>
      <c r="Y433" s="5">
        <v>2.8</v>
      </c>
      <c r="Z433" s="5">
        <v>2.2999999999999998</v>
      </c>
      <c r="AA433" s="5">
        <v>2.5</v>
      </c>
    </row>
    <row r="434" spans="1:30" s="5" customFormat="1" x14ac:dyDescent="0.2">
      <c r="A434" s="5" t="s">
        <v>130</v>
      </c>
      <c r="B434" s="16" t="s">
        <v>125</v>
      </c>
      <c r="C434" s="15" t="s">
        <v>2</v>
      </c>
      <c r="D434" s="39">
        <v>25162721</v>
      </c>
      <c r="E434" s="39">
        <v>2428074</v>
      </c>
      <c r="F434" s="39">
        <v>103579</v>
      </c>
      <c r="G434" s="6">
        <v>5356</v>
      </c>
      <c r="H434" s="6">
        <v>4941</v>
      </c>
      <c r="I434" s="6">
        <v>4713</v>
      </c>
      <c r="J434" s="6">
        <v>5196</v>
      </c>
      <c r="K434" s="6">
        <v>5062</v>
      </c>
      <c r="L434" s="6">
        <v>3861</v>
      </c>
      <c r="M434" s="6">
        <v>5210</v>
      </c>
      <c r="N434" s="6">
        <v>4487</v>
      </c>
      <c r="O434" s="6">
        <v>5516</v>
      </c>
      <c r="P434" s="6">
        <v>4968</v>
      </c>
      <c r="Q434" s="6">
        <v>4355</v>
      </c>
      <c r="R434" s="6">
        <v>5609</v>
      </c>
      <c r="S434" s="6">
        <v>5373</v>
      </c>
      <c r="T434" s="6">
        <v>5701</v>
      </c>
      <c r="U434" s="6">
        <v>5860</v>
      </c>
      <c r="V434" s="6">
        <v>5025</v>
      </c>
      <c r="W434" s="6">
        <v>4785</v>
      </c>
      <c r="X434" s="6">
        <v>3839</v>
      </c>
      <c r="Y434" s="6">
        <v>4749</v>
      </c>
      <c r="Z434" s="6">
        <v>5090</v>
      </c>
      <c r="AA434" s="6">
        <v>3883</v>
      </c>
      <c r="AB434" s="6"/>
      <c r="AC434" s="6"/>
      <c r="AD434" s="6"/>
    </row>
    <row r="435" spans="1:30" s="5" customFormat="1" x14ac:dyDescent="0.2">
      <c r="B435" s="16"/>
      <c r="C435" s="15" t="s">
        <v>3</v>
      </c>
      <c r="D435" s="39">
        <v>100</v>
      </c>
      <c r="E435" s="39">
        <v>100</v>
      </c>
      <c r="F435" s="39">
        <v>100</v>
      </c>
      <c r="G435" s="7">
        <v>100</v>
      </c>
      <c r="H435" s="7">
        <v>100</v>
      </c>
      <c r="I435" s="7">
        <v>100</v>
      </c>
      <c r="J435" s="7">
        <v>100</v>
      </c>
      <c r="K435" s="7">
        <v>100</v>
      </c>
      <c r="L435" s="7">
        <v>100</v>
      </c>
      <c r="M435" s="7">
        <v>100</v>
      </c>
      <c r="N435" s="7">
        <v>100</v>
      </c>
      <c r="O435" s="7">
        <v>100</v>
      </c>
      <c r="P435" s="7">
        <v>100</v>
      </c>
      <c r="Q435" s="7">
        <v>100</v>
      </c>
      <c r="R435" s="7">
        <v>100</v>
      </c>
      <c r="S435" s="7">
        <v>100</v>
      </c>
      <c r="T435" s="7">
        <v>100</v>
      </c>
      <c r="U435" s="7">
        <v>100</v>
      </c>
      <c r="V435" s="7">
        <v>100</v>
      </c>
      <c r="W435" s="7">
        <v>100</v>
      </c>
      <c r="X435" s="7">
        <v>100</v>
      </c>
      <c r="Y435" s="7">
        <v>100</v>
      </c>
      <c r="Z435" s="7">
        <v>100</v>
      </c>
      <c r="AA435" s="7">
        <v>100</v>
      </c>
      <c r="AB435" s="7"/>
      <c r="AC435" s="7"/>
      <c r="AD435" s="7"/>
    </row>
    <row r="436" spans="1:30" s="5" customFormat="1" x14ac:dyDescent="0.2">
      <c r="B436" s="16" t="s">
        <v>126</v>
      </c>
      <c r="C436" s="15" t="s">
        <v>2</v>
      </c>
      <c r="D436" s="39">
        <v>2418518</v>
      </c>
      <c r="E436" s="39">
        <v>229654</v>
      </c>
      <c r="F436" s="39">
        <v>8086</v>
      </c>
      <c r="G436" s="6">
        <v>383</v>
      </c>
      <c r="H436" s="6">
        <v>373</v>
      </c>
      <c r="I436" s="6">
        <v>357</v>
      </c>
      <c r="J436" s="6">
        <v>433</v>
      </c>
      <c r="K436" s="6">
        <v>406</v>
      </c>
      <c r="L436" s="6">
        <v>292</v>
      </c>
      <c r="M436" s="6">
        <v>336</v>
      </c>
      <c r="N436" s="6">
        <v>400</v>
      </c>
      <c r="O436" s="6">
        <v>420</v>
      </c>
      <c r="P436" s="6">
        <v>346</v>
      </c>
      <c r="Q436" s="6">
        <v>338</v>
      </c>
      <c r="R436" s="6">
        <v>370</v>
      </c>
      <c r="S436" s="6">
        <v>401</v>
      </c>
      <c r="T436" s="6">
        <v>525</v>
      </c>
      <c r="U436" s="6">
        <v>509</v>
      </c>
      <c r="V436" s="6">
        <v>421</v>
      </c>
      <c r="W436" s="6">
        <v>384</v>
      </c>
      <c r="X436" s="6">
        <v>315</v>
      </c>
      <c r="Y436" s="6">
        <v>358</v>
      </c>
      <c r="Z436" s="6">
        <v>391</v>
      </c>
      <c r="AA436" s="6">
        <v>328</v>
      </c>
      <c r="AB436" s="6"/>
      <c r="AC436" s="6"/>
      <c r="AD436" s="6"/>
    </row>
    <row r="437" spans="1:30" s="5" customFormat="1" x14ac:dyDescent="0.2">
      <c r="B437" s="16"/>
      <c r="C437" s="15" t="s">
        <v>3</v>
      </c>
      <c r="D437" s="39">
        <v>9.6</v>
      </c>
      <c r="E437" s="39">
        <v>9.5</v>
      </c>
      <c r="F437" s="39">
        <v>7.8</v>
      </c>
      <c r="G437" s="7">
        <v>7.2</v>
      </c>
      <c r="H437" s="7">
        <v>7.5</v>
      </c>
      <c r="I437" s="7">
        <v>7.6</v>
      </c>
      <c r="J437" s="7">
        <v>8.3000000000000007</v>
      </c>
      <c r="K437" s="7">
        <v>8</v>
      </c>
      <c r="L437" s="7">
        <v>7.6</v>
      </c>
      <c r="M437" s="7">
        <v>6.4</v>
      </c>
      <c r="N437" s="7">
        <v>8.9</v>
      </c>
      <c r="O437" s="7">
        <v>7.6</v>
      </c>
      <c r="P437" s="7">
        <v>7</v>
      </c>
      <c r="Q437" s="7">
        <v>7.8</v>
      </c>
      <c r="R437" s="7">
        <v>6.6</v>
      </c>
      <c r="S437" s="7">
        <v>7.5</v>
      </c>
      <c r="T437" s="7">
        <v>9.1999999999999993</v>
      </c>
      <c r="U437" s="7">
        <v>8.6999999999999993</v>
      </c>
      <c r="V437" s="7">
        <v>8.4</v>
      </c>
      <c r="W437" s="7">
        <v>8</v>
      </c>
      <c r="X437" s="7">
        <v>8.1999999999999993</v>
      </c>
      <c r="Y437" s="7">
        <v>7.5</v>
      </c>
      <c r="Z437" s="7">
        <v>7.7</v>
      </c>
      <c r="AA437" s="7">
        <v>8.4</v>
      </c>
      <c r="AB437" s="7"/>
      <c r="AC437" s="7"/>
      <c r="AD437" s="7"/>
    </row>
    <row r="438" spans="1:30" s="5" customFormat="1" x14ac:dyDescent="0.2">
      <c r="B438" s="16" t="s">
        <v>127</v>
      </c>
      <c r="C438" s="15" t="s">
        <v>2</v>
      </c>
      <c r="D438" s="39">
        <v>4888565</v>
      </c>
      <c r="E438" s="39">
        <v>515440</v>
      </c>
      <c r="F438" s="39">
        <v>22357</v>
      </c>
      <c r="G438" s="6">
        <v>1101</v>
      </c>
      <c r="H438" s="6">
        <v>1087</v>
      </c>
      <c r="I438" s="6">
        <v>1047</v>
      </c>
      <c r="J438" s="6">
        <v>1016</v>
      </c>
      <c r="K438" s="6">
        <v>1054</v>
      </c>
      <c r="L438" s="6">
        <v>869</v>
      </c>
      <c r="M438" s="6">
        <v>1167</v>
      </c>
      <c r="N438" s="6">
        <v>991</v>
      </c>
      <c r="O438" s="6">
        <v>1173</v>
      </c>
      <c r="P438" s="6">
        <v>1046</v>
      </c>
      <c r="Q438" s="6">
        <v>1057</v>
      </c>
      <c r="R438" s="6">
        <v>1237</v>
      </c>
      <c r="S438" s="6">
        <v>1145</v>
      </c>
      <c r="T438" s="6">
        <v>1094</v>
      </c>
      <c r="U438" s="6">
        <v>1125</v>
      </c>
      <c r="V438" s="6">
        <v>1093</v>
      </c>
      <c r="W438" s="6">
        <v>967</v>
      </c>
      <c r="X438" s="6">
        <v>981</v>
      </c>
      <c r="Y438" s="6">
        <v>1072</v>
      </c>
      <c r="Z438" s="6">
        <v>1125</v>
      </c>
      <c r="AA438" s="6">
        <v>910</v>
      </c>
      <c r="AB438" s="6"/>
      <c r="AC438" s="6"/>
      <c r="AD438" s="6"/>
    </row>
    <row r="439" spans="1:30" s="5" customFormat="1" x14ac:dyDescent="0.2">
      <c r="B439" s="16"/>
      <c r="C439" s="15" t="s">
        <v>3</v>
      </c>
      <c r="D439" s="39">
        <v>19.399999999999999</v>
      </c>
      <c r="E439" s="39">
        <v>21.2</v>
      </c>
      <c r="F439" s="39">
        <v>21.6</v>
      </c>
      <c r="G439" s="7">
        <v>20.6</v>
      </c>
      <c r="H439" s="7">
        <v>22</v>
      </c>
      <c r="I439" s="7">
        <v>22.2</v>
      </c>
      <c r="J439" s="7">
        <v>19.600000000000001</v>
      </c>
      <c r="K439" s="7">
        <v>20.8</v>
      </c>
      <c r="L439" s="7">
        <v>22.5</v>
      </c>
      <c r="M439" s="7">
        <v>22.4</v>
      </c>
      <c r="N439" s="7">
        <v>22.1</v>
      </c>
      <c r="O439" s="7">
        <v>21.3</v>
      </c>
      <c r="P439" s="7">
        <v>21.1</v>
      </c>
      <c r="Q439" s="7">
        <v>24.3</v>
      </c>
      <c r="R439" s="7">
        <v>22.1</v>
      </c>
      <c r="S439" s="7">
        <v>21.3</v>
      </c>
      <c r="T439" s="7">
        <v>19.2</v>
      </c>
      <c r="U439" s="7">
        <v>19.2</v>
      </c>
      <c r="V439" s="7">
        <v>21.8</v>
      </c>
      <c r="W439" s="7">
        <v>20.2</v>
      </c>
      <c r="X439" s="7">
        <v>25.6</v>
      </c>
      <c r="Y439" s="7">
        <v>22.6</v>
      </c>
      <c r="Z439" s="7">
        <v>22.1</v>
      </c>
      <c r="AA439" s="7">
        <v>23.4</v>
      </c>
      <c r="AB439" s="7"/>
      <c r="AC439" s="7"/>
      <c r="AD439" s="7"/>
    </row>
    <row r="440" spans="1:30" s="5" customFormat="1" x14ac:dyDescent="0.2">
      <c r="B440" s="16" t="s">
        <v>128</v>
      </c>
      <c r="C440" s="15" t="s">
        <v>2</v>
      </c>
      <c r="D440" s="39">
        <v>14502713</v>
      </c>
      <c r="E440" s="39">
        <v>1393681</v>
      </c>
      <c r="F440" s="39">
        <v>61102</v>
      </c>
      <c r="G440" s="6">
        <v>3274</v>
      </c>
      <c r="H440" s="6">
        <v>2921</v>
      </c>
      <c r="I440" s="6">
        <v>2727</v>
      </c>
      <c r="J440" s="6">
        <v>3104</v>
      </c>
      <c r="K440" s="6">
        <v>2994</v>
      </c>
      <c r="L440" s="6">
        <v>2362</v>
      </c>
      <c r="M440" s="6">
        <v>3127</v>
      </c>
      <c r="N440" s="6">
        <v>2552</v>
      </c>
      <c r="O440" s="6">
        <v>3302</v>
      </c>
      <c r="P440" s="6">
        <v>3062</v>
      </c>
      <c r="Q440" s="6">
        <v>2543</v>
      </c>
      <c r="R440" s="6">
        <v>3326</v>
      </c>
      <c r="S440" s="6">
        <v>3223</v>
      </c>
      <c r="T440" s="6">
        <v>3053</v>
      </c>
      <c r="U440" s="6">
        <v>3320</v>
      </c>
      <c r="V440" s="6">
        <v>2962</v>
      </c>
      <c r="W440" s="6">
        <v>2906</v>
      </c>
      <c r="X440" s="6">
        <v>2178</v>
      </c>
      <c r="Y440" s="6">
        <v>2862</v>
      </c>
      <c r="Z440" s="6">
        <v>3075</v>
      </c>
      <c r="AA440" s="6">
        <v>2229</v>
      </c>
      <c r="AB440" s="6"/>
      <c r="AC440" s="6"/>
      <c r="AD440" s="6"/>
    </row>
    <row r="441" spans="1:30" s="5" customFormat="1" x14ac:dyDescent="0.2">
      <c r="B441" s="16"/>
      <c r="C441" s="15" t="s">
        <v>3</v>
      </c>
      <c r="D441" s="39">
        <v>57.6</v>
      </c>
      <c r="E441" s="39">
        <v>57.4</v>
      </c>
      <c r="F441" s="39">
        <v>59</v>
      </c>
      <c r="G441" s="7">
        <v>61.1</v>
      </c>
      <c r="H441" s="7">
        <v>59.1</v>
      </c>
      <c r="I441" s="7">
        <v>57.9</v>
      </c>
      <c r="J441" s="7">
        <v>59.7</v>
      </c>
      <c r="K441" s="7">
        <v>59.1</v>
      </c>
      <c r="L441" s="7">
        <v>61.2</v>
      </c>
      <c r="M441" s="7">
        <v>60</v>
      </c>
      <c r="N441" s="7">
        <v>56.9</v>
      </c>
      <c r="O441" s="7">
        <v>59.9</v>
      </c>
      <c r="P441" s="7">
        <v>61.6</v>
      </c>
      <c r="Q441" s="7">
        <v>58.4</v>
      </c>
      <c r="R441" s="7">
        <v>59.3</v>
      </c>
      <c r="S441" s="7">
        <v>60</v>
      </c>
      <c r="T441" s="7">
        <v>53.6</v>
      </c>
      <c r="U441" s="7">
        <v>56.7</v>
      </c>
      <c r="V441" s="7">
        <v>58.9</v>
      </c>
      <c r="W441" s="7">
        <v>60.7</v>
      </c>
      <c r="X441" s="7">
        <v>56.7</v>
      </c>
      <c r="Y441" s="7">
        <v>60.3</v>
      </c>
      <c r="Z441" s="7">
        <v>60.4</v>
      </c>
      <c r="AA441" s="7">
        <v>57.4</v>
      </c>
      <c r="AB441" s="7"/>
      <c r="AC441" s="7"/>
      <c r="AD441" s="7"/>
    </row>
    <row r="442" spans="1:30" s="5" customFormat="1" x14ac:dyDescent="0.2">
      <c r="B442" s="16" t="s">
        <v>129</v>
      </c>
      <c r="C442" s="15" t="s">
        <v>2</v>
      </c>
      <c r="D442" s="39">
        <v>3352925</v>
      </c>
      <c r="E442" s="39">
        <v>289299</v>
      </c>
      <c r="F442" s="39">
        <v>12034</v>
      </c>
      <c r="G442" s="6">
        <v>598</v>
      </c>
      <c r="H442" s="6">
        <v>560</v>
      </c>
      <c r="I442" s="6">
        <v>582</v>
      </c>
      <c r="J442" s="6">
        <v>643</v>
      </c>
      <c r="K442" s="6">
        <v>608</v>
      </c>
      <c r="L442" s="6">
        <v>338</v>
      </c>
      <c r="M442" s="6">
        <v>580</v>
      </c>
      <c r="N442" s="6">
        <v>544</v>
      </c>
      <c r="O442" s="6">
        <v>621</v>
      </c>
      <c r="P442" s="6">
        <v>514</v>
      </c>
      <c r="Q442" s="6">
        <v>417</v>
      </c>
      <c r="R442" s="6">
        <v>676</v>
      </c>
      <c r="S442" s="6">
        <v>604</v>
      </c>
      <c r="T442" s="6">
        <v>1029</v>
      </c>
      <c r="U442" s="6">
        <v>906</v>
      </c>
      <c r="V442" s="6">
        <v>549</v>
      </c>
      <c r="W442" s="6">
        <v>528</v>
      </c>
      <c r="X442" s="6">
        <v>365</v>
      </c>
      <c r="Y442" s="6">
        <v>457</v>
      </c>
      <c r="Z442" s="6">
        <v>499</v>
      </c>
      <c r="AA442" s="6">
        <v>416</v>
      </c>
      <c r="AB442" s="6"/>
      <c r="AC442" s="6"/>
      <c r="AD442" s="6"/>
    </row>
    <row r="443" spans="1:30" s="5" customFormat="1" x14ac:dyDescent="0.2">
      <c r="B443" s="16"/>
      <c r="C443" s="15" t="s">
        <v>3</v>
      </c>
      <c r="D443" s="39">
        <v>13.3</v>
      </c>
      <c r="E443" s="39">
        <v>11.9</v>
      </c>
      <c r="F443" s="39">
        <v>11.6</v>
      </c>
      <c r="G443" s="7">
        <v>11.2</v>
      </c>
      <c r="H443" s="7">
        <v>11.3</v>
      </c>
      <c r="I443" s="7">
        <v>12.3</v>
      </c>
      <c r="J443" s="7">
        <v>12.4</v>
      </c>
      <c r="K443" s="7">
        <v>12</v>
      </c>
      <c r="L443" s="7">
        <v>8.8000000000000007</v>
      </c>
      <c r="M443" s="7">
        <v>11.1</v>
      </c>
      <c r="N443" s="7">
        <v>12.1</v>
      </c>
      <c r="O443" s="7">
        <v>11.3</v>
      </c>
      <c r="P443" s="7">
        <v>10.3</v>
      </c>
      <c r="Q443" s="7">
        <v>9.6</v>
      </c>
      <c r="R443" s="7">
        <v>12.1</v>
      </c>
      <c r="S443" s="7">
        <v>11.2</v>
      </c>
      <c r="T443" s="7">
        <v>18</v>
      </c>
      <c r="U443" s="7">
        <v>15.5</v>
      </c>
      <c r="V443" s="7">
        <v>10.9</v>
      </c>
      <c r="W443" s="7">
        <v>11</v>
      </c>
      <c r="X443" s="7">
        <v>9.5</v>
      </c>
      <c r="Y443" s="7">
        <v>9.6</v>
      </c>
      <c r="Z443" s="7">
        <v>9.8000000000000007</v>
      </c>
      <c r="AA443" s="7">
        <v>10.7</v>
      </c>
      <c r="AB443" s="7"/>
      <c r="AC443" s="7"/>
      <c r="AD443" s="7"/>
    </row>
    <row r="444" spans="1:30" s="5" customFormat="1" x14ac:dyDescent="0.2">
      <c r="A444" s="5" t="s">
        <v>156</v>
      </c>
      <c r="B444" s="190" t="s">
        <v>137</v>
      </c>
      <c r="C444" s="15" t="s">
        <v>2</v>
      </c>
      <c r="D444" s="39">
        <v>25162721</v>
      </c>
      <c r="E444" s="39">
        <v>2428074</v>
      </c>
      <c r="F444" s="39">
        <v>103579</v>
      </c>
      <c r="G444" s="6">
        <v>5356</v>
      </c>
      <c r="H444" s="6">
        <v>4941</v>
      </c>
      <c r="I444" s="6">
        <v>4713</v>
      </c>
      <c r="J444" s="6">
        <v>5196</v>
      </c>
      <c r="K444" s="6">
        <v>5062</v>
      </c>
      <c r="L444" s="6">
        <v>3861</v>
      </c>
      <c r="M444" s="6">
        <v>5210</v>
      </c>
      <c r="N444" s="6">
        <v>4487</v>
      </c>
      <c r="O444" s="6">
        <v>5516</v>
      </c>
      <c r="P444" s="6">
        <v>4968</v>
      </c>
      <c r="Q444" s="6">
        <v>4355</v>
      </c>
      <c r="R444" s="6">
        <v>5609</v>
      </c>
      <c r="S444" s="6">
        <v>5373</v>
      </c>
      <c r="T444" s="6">
        <v>5701</v>
      </c>
      <c r="U444" s="6">
        <v>5860</v>
      </c>
      <c r="V444" s="6">
        <v>5025</v>
      </c>
      <c r="W444" s="6">
        <v>4785</v>
      </c>
      <c r="X444" s="6">
        <v>3839</v>
      </c>
      <c r="Y444" s="6">
        <v>4749</v>
      </c>
      <c r="Z444" s="6">
        <v>5090</v>
      </c>
      <c r="AA444" s="6">
        <v>3883</v>
      </c>
    </row>
    <row r="445" spans="1:30" s="5" customFormat="1" x14ac:dyDescent="0.2">
      <c r="B445" s="191"/>
      <c r="C445" s="15" t="s">
        <v>3</v>
      </c>
      <c r="D445" s="39">
        <v>100</v>
      </c>
      <c r="E445" s="39">
        <v>100</v>
      </c>
      <c r="F445" s="39">
        <v>100</v>
      </c>
      <c r="G445" s="7">
        <v>100</v>
      </c>
      <c r="H445" s="7">
        <v>100</v>
      </c>
      <c r="I445" s="7">
        <v>100</v>
      </c>
      <c r="J445" s="7">
        <v>100</v>
      </c>
      <c r="K445" s="7">
        <v>100</v>
      </c>
      <c r="L445" s="7">
        <v>100</v>
      </c>
      <c r="M445" s="7">
        <v>100</v>
      </c>
      <c r="N445" s="7">
        <v>100</v>
      </c>
      <c r="O445" s="7">
        <v>100</v>
      </c>
      <c r="P445" s="7">
        <v>100</v>
      </c>
      <c r="Q445" s="7">
        <v>100</v>
      </c>
      <c r="R445" s="7">
        <v>100</v>
      </c>
      <c r="S445" s="7">
        <v>100</v>
      </c>
      <c r="T445" s="7">
        <v>100</v>
      </c>
      <c r="U445" s="7">
        <v>100</v>
      </c>
      <c r="V445" s="7">
        <v>100</v>
      </c>
      <c r="W445" s="7">
        <v>100</v>
      </c>
      <c r="X445" s="7">
        <v>100</v>
      </c>
      <c r="Y445" s="7">
        <v>100</v>
      </c>
      <c r="Z445" s="7">
        <v>100</v>
      </c>
      <c r="AA445" s="7">
        <v>100</v>
      </c>
    </row>
    <row r="446" spans="1:30" s="5" customFormat="1" x14ac:dyDescent="0.2">
      <c r="B446" s="190" t="s">
        <v>138</v>
      </c>
      <c r="C446" s="15" t="s">
        <v>2</v>
      </c>
      <c r="D446" s="39">
        <v>203789</v>
      </c>
      <c r="E446" s="39">
        <v>22642</v>
      </c>
      <c r="F446" s="39">
        <v>530</v>
      </c>
      <c r="G446" s="6">
        <v>2</v>
      </c>
      <c r="H446" s="6">
        <v>7</v>
      </c>
      <c r="I446" s="6">
        <v>15</v>
      </c>
      <c r="J446" s="6">
        <v>17</v>
      </c>
      <c r="K446" s="6">
        <v>20</v>
      </c>
      <c r="L446" s="6">
        <v>8</v>
      </c>
      <c r="M446" s="6">
        <v>20</v>
      </c>
      <c r="N446" s="6">
        <v>15</v>
      </c>
      <c r="O446" s="6">
        <v>12</v>
      </c>
      <c r="P446" s="6">
        <v>9</v>
      </c>
      <c r="Q446" s="6">
        <v>16</v>
      </c>
      <c r="R446" s="6">
        <v>23</v>
      </c>
      <c r="S446" s="6">
        <v>13</v>
      </c>
      <c r="T446" s="6">
        <v>161</v>
      </c>
      <c r="U446" s="6">
        <v>104</v>
      </c>
      <c r="V446" s="6">
        <v>32</v>
      </c>
      <c r="W446" s="6">
        <v>11</v>
      </c>
      <c r="X446" s="6">
        <v>4</v>
      </c>
      <c r="Y446" s="6">
        <v>14</v>
      </c>
      <c r="Z446" s="6">
        <v>11</v>
      </c>
      <c r="AA446" s="6">
        <v>16</v>
      </c>
    </row>
    <row r="447" spans="1:30" s="5" customFormat="1" x14ac:dyDescent="0.2">
      <c r="B447" s="191"/>
      <c r="C447" s="15" t="s">
        <v>3</v>
      </c>
      <c r="D447" s="39">
        <v>0.8</v>
      </c>
      <c r="E447" s="39">
        <v>0.9</v>
      </c>
      <c r="F447" s="39">
        <v>0.5</v>
      </c>
      <c r="G447" s="7">
        <v>0</v>
      </c>
      <c r="H447" s="7">
        <v>0.1</v>
      </c>
      <c r="I447" s="7">
        <v>0.3</v>
      </c>
      <c r="J447" s="7">
        <v>0.3</v>
      </c>
      <c r="K447" s="7">
        <v>0.4</v>
      </c>
      <c r="L447" s="7">
        <v>0.2</v>
      </c>
      <c r="M447" s="7">
        <v>0.4</v>
      </c>
      <c r="N447" s="7">
        <v>0.3</v>
      </c>
      <c r="O447" s="7">
        <v>0.2</v>
      </c>
      <c r="P447" s="7">
        <v>0.2</v>
      </c>
      <c r="Q447" s="7">
        <v>0.4</v>
      </c>
      <c r="R447" s="7">
        <v>0.4</v>
      </c>
      <c r="S447" s="7">
        <v>0.2</v>
      </c>
      <c r="T447" s="7">
        <v>2.8</v>
      </c>
      <c r="U447" s="7">
        <v>1.8</v>
      </c>
      <c r="V447" s="7">
        <v>0.6</v>
      </c>
      <c r="W447" s="7">
        <v>0.2</v>
      </c>
      <c r="X447" s="7">
        <v>0.1</v>
      </c>
      <c r="Y447" s="7">
        <v>0.3</v>
      </c>
      <c r="Z447" s="7">
        <v>0.2</v>
      </c>
      <c r="AA447" s="7">
        <v>0.4</v>
      </c>
    </row>
    <row r="448" spans="1:30" s="5" customFormat="1" x14ac:dyDescent="0.2">
      <c r="B448" s="190" t="s">
        <v>139</v>
      </c>
      <c r="C448" s="15" t="s">
        <v>2</v>
      </c>
      <c r="D448" s="39">
        <v>43302</v>
      </c>
      <c r="E448" s="39">
        <v>5558</v>
      </c>
      <c r="F448" s="39">
        <v>447</v>
      </c>
      <c r="G448" s="6">
        <v>25</v>
      </c>
      <c r="H448" s="6">
        <v>22</v>
      </c>
      <c r="I448" s="6">
        <v>23</v>
      </c>
      <c r="J448" s="6">
        <v>22</v>
      </c>
      <c r="K448" s="6">
        <v>30</v>
      </c>
      <c r="L448" s="6">
        <v>27</v>
      </c>
      <c r="M448" s="6">
        <v>57</v>
      </c>
      <c r="N448" s="6">
        <v>14</v>
      </c>
      <c r="O448" s="6">
        <v>18</v>
      </c>
      <c r="P448" s="6">
        <v>12</v>
      </c>
      <c r="Q448" s="6">
        <v>12</v>
      </c>
      <c r="R448" s="6">
        <v>31</v>
      </c>
      <c r="S448" s="6">
        <v>19</v>
      </c>
      <c r="T448" s="6">
        <v>15</v>
      </c>
      <c r="U448" s="6">
        <v>5</v>
      </c>
      <c r="V448" s="6">
        <v>17</v>
      </c>
      <c r="W448" s="6">
        <v>23</v>
      </c>
      <c r="X448" s="6">
        <v>19</v>
      </c>
      <c r="Y448" s="6">
        <v>17</v>
      </c>
      <c r="Z448" s="6">
        <v>23</v>
      </c>
      <c r="AA448" s="6">
        <v>16</v>
      </c>
    </row>
    <row r="449" spans="2:27" s="5" customFormat="1" x14ac:dyDescent="0.2">
      <c r="B449" s="191"/>
      <c r="C449" s="15" t="s">
        <v>3</v>
      </c>
      <c r="D449" s="39">
        <v>0.2</v>
      </c>
      <c r="E449" s="39">
        <v>0.2</v>
      </c>
      <c r="F449" s="39">
        <v>0.4</v>
      </c>
      <c r="G449" s="7">
        <v>0.5</v>
      </c>
      <c r="H449" s="7">
        <v>0.4</v>
      </c>
      <c r="I449" s="7">
        <v>0.5</v>
      </c>
      <c r="J449" s="7">
        <v>0.4</v>
      </c>
      <c r="K449" s="7">
        <v>0.6</v>
      </c>
      <c r="L449" s="7">
        <v>0.7</v>
      </c>
      <c r="M449" s="7">
        <v>1.1000000000000001</v>
      </c>
      <c r="N449" s="7">
        <v>0.3</v>
      </c>
      <c r="O449" s="7">
        <v>0.3</v>
      </c>
      <c r="P449" s="7">
        <v>0.2</v>
      </c>
      <c r="Q449" s="7">
        <v>0.3</v>
      </c>
      <c r="R449" s="7">
        <v>0.6</v>
      </c>
      <c r="S449" s="7">
        <v>0.4</v>
      </c>
      <c r="T449" s="7">
        <v>0.3</v>
      </c>
      <c r="U449" s="7">
        <v>0.1</v>
      </c>
      <c r="V449" s="7">
        <v>0.3</v>
      </c>
      <c r="W449" s="7">
        <v>0.5</v>
      </c>
      <c r="X449" s="7">
        <v>0.5</v>
      </c>
      <c r="Y449" s="7">
        <v>0.4</v>
      </c>
      <c r="Z449" s="7">
        <v>0.5</v>
      </c>
      <c r="AA449" s="7">
        <v>0.4</v>
      </c>
    </row>
    <row r="450" spans="2:27" s="5" customFormat="1" x14ac:dyDescent="0.2">
      <c r="B450" s="190" t="s">
        <v>140</v>
      </c>
      <c r="C450" s="15" t="s">
        <v>2</v>
      </c>
      <c r="D450" s="39">
        <v>2226247</v>
      </c>
      <c r="E450" s="39">
        <v>272746</v>
      </c>
      <c r="F450" s="39">
        <v>13003</v>
      </c>
      <c r="G450" s="6">
        <v>688</v>
      </c>
      <c r="H450" s="6">
        <v>636</v>
      </c>
      <c r="I450" s="6">
        <v>570</v>
      </c>
      <c r="J450" s="6">
        <v>630</v>
      </c>
      <c r="K450" s="6">
        <v>578</v>
      </c>
      <c r="L450" s="6">
        <v>461</v>
      </c>
      <c r="M450" s="6">
        <v>668</v>
      </c>
      <c r="N450" s="6">
        <v>467</v>
      </c>
      <c r="O450" s="6">
        <v>681</v>
      </c>
      <c r="P450" s="6">
        <v>637</v>
      </c>
      <c r="Q450" s="6">
        <v>657</v>
      </c>
      <c r="R450" s="6">
        <v>716</v>
      </c>
      <c r="S450" s="6">
        <v>588</v>
      </c>
      <c r="T450" s="6">
        <v>619</v>
      </c>
      <c r="U450" s="6">
        <v>806</v>
      </c>
      <c r="V450" s="6">
        <v>654</v>
      </c>
      <c r="W450" s="6">
        <v>708</v>
      </c>
      <c r="X450" s="6">
        <v>575</v>
      </c>
      <c r="Y450" s="6">
        <v>572</v>
      </c>
      <c r="Z450" s="6">
        <v>633</v>
      </c>
      <c r="AA450" s="6">
        <v>459</v>
      </c>
    </row>
    <row r="451" spans="2:27" s="5" customFormat="1" x14ac:dyDescent="0.2">
      <c r="B451" s="191"/>
      <c r="C451" s="15" t="s">
        <v>3</v>
      </c>
      <c r="D451" s="39">
        <v>8.8000000000000007</v>
      </c>
      <c r="E451" s="39">
        <v>11.2</v>
      </c>
      <c r="F451" s="39">
        <v>12.6</v>
      </c>
      <c r="G451" s="7">
        <v>12.8</v>
      </c>
      <c r="H451" s="7">
        <v>12.9</v>
      </c>
      <c r="I451" s="7">
        <v>12.1</v>
      </c>
      <c r="J451" s="7">
        <v>12.1</v>
      </c>
      <c r="K451" s="7">
        <v>11.4</v>
      </c>
      <c r="L451" s="7">
        <v>11.9</v>
      </c>
      <c r="M451" s="7">
        <v>12.8</v>
      </c>
      <c r="N451" s="7">
        <v>10.4</v>
      </c>
      <c r="O451" s="7">
        <v>12.3</v>
      </c>
      <c r="P451" s="7">
        <v>12.8</v>
      </c>
      <c r="Q451" s="7">
        <v>15.1</v>
      </c>
      <c r="R451" s="7">
        <v>12.8</v>
      </c>
      <c r="S451" s="7">
        <v>10.9</v>
      </c>
      <c r="T451" s="7">
        <v>10.9</v>
      </c>
      <c r="U451" s="7">
        <v>13.8</v>
      </c>
      <c r="V451" s="7">
        <v>13</v>
      </c>
      <c r="W451" s="7">
        <v>14.8</v>
      </c>
      <c r="X451" s="7">
        <v>15</v>
      </c>
      <c r="Y451" s="7">
        <v>12</v>
      </c>
      <c r="Z451" s="7">
        <v>12.4</v>
      </c>
      <c r="AA451" s="7">
        <v>11.8</v>
      </c>
    </row>
    <row r="452" spans="2:27" s="5" customFormat="1" x14ac:dyDescent="0.2">
      <c r="B452" s="190" t="s">
        <v>141</v>
      </c>
      <c r="C452" s="15" t="s">
        <v>2</v>
      </c>
      <c r="D452" s="39">
        <v>140148</v>
      </c>
      <c r="E452" s="39">
        <v>14406</v>
      </c>
      <c r="F452" s="39">
        <v>556</v>
      </c>
      <c r="G452" s="6">
        <v>34</v>
      </c>
      <c r="H452" s="6">
        <v>34</v>
      </c>
      <c r="I452" s="6">
        <v>31</v>
      </c>
      <c r="J452" s="6">
        <v>22</v>
      </c>
      <c r="K452" s="6">
        <v>23</v>
      </c>
      <c r="L452" s="6">
        <v>32</v>
      </c>
      <c r="M452" s="6">
        <v>37</v>
      </c>
      <c r="N452" s="6">
        <v>24</v>
      </c>
      <c r="O452" s="6">
        <v>27</v>
      </c>
      <c r="P452" s="6">
        <v>24</v>
      </c>
      <c r="Q452" s="6">
        <v>26</v>
      </c>
      <c r="R452" s="6">
        <v>19</v>
      </c>
      <c r="S452" s="6">
        <v>20</v>
      </c>
      <c r="T452" s="6">
        <v>26</v>
      </c>
      <c r="U452" s="6">
        <v>18</v>
      </c>
      <c r="V452" s="6">
        <v>27</v>
      </c>
      <c r="W452" s="6">
        <v>28</v>
      </c>
      <c r="X452" s="6">
        <v>14</v>
      </c>
      <c r="Y452" s="6">
        <v>27</v>
      </c>
      <c r="Z452" s="6">
        <v>45</v>
      </c>
      <c r="AA452" s="6">
        <v>18</v>
      </c>
    </row>
    <row r="453" spans="2:27" s="5" customFormat="1" x14ac:dyDescent="0.2">
      <c r="B453" s="191"/>
      <c r="C453" s="15" t="s">
        <v>3</v>
      </c>
      <c r="D453" s="39">
        <v>0.6</v>
      </c>
      <c r="E453" s="39">
        <v>0.6</v>
      </c>
      <c r="F453" s="39">
        <v>0.5</v>
      </c>
      <c r="G453" s="7">
        <v>0.6</v>
      </c>
      <c r="H453" s="7">
        <v>0.7</v>
      </c>
      <c r="I453" s="7">
        <v>0.7</v>
      </c>
      <c r="J453" s="7">
        <v>0.4</v>
      </c>
      <c r="K453" s="7">
        <v>0.5</v>
      </c>
      <c r="L453" s="7">
        <v>0.8</v>
      </c>
      <c r="M453" s="7">
        <v>0.7</v>
      </c>
      <c r="N453" s="7">
        <v>0.5</v>
      </c>
      <c r="O453" s="7">
        <v>0.5</v>
      </c>
      <c r="P453" s="7">
        <v>0.5</v>
      </c>
      <c r="Q453" s="7">
        <v>0.6</v>
      </c>
      <c r="R453" s="7">
        <v>0.3</v>
      </c>
      <c r="S453" s="7">
        <v>0.4</v>
      </c>
      <c r="T453" s="7">
        <v>0.5</v>
      </c>
      <c r="U453" s="7">
        <v>0.3</v>
      </c>
      <c r="V453" s="7">
        <v>0.5</v>
      </c>
      <c r="W453" s="7">
        <v>0.6</v>
      </c>
      <c r="X453" s="7">
        <v>0.4</v>
      </c>
      <c r="Y453" s="7">
        <v>0.6</v>
      </c>
      <c r="Z453" s="7">
        <v>0.9</v>
      </c>
      <c r="AA453" s="7">
        <v>0.5</v>
      </c>
    </row>
    <row r="454" spans="2:27" s="5" customFormat="1" x14ac:dyDescent="0.2">
      <c r="B454" s="190" t="s">
        <v>142</v>
      </c>
      <c r="C454" s="15" t="s">
        <v>2</v>
      </c>
      <c r="D454" s="39">
        <v>175214</v>
      </c>
      <c r="E454" s="39">
        <v>17921</v>
      </c>
      <c r="F454" s="39">
        <v>1047</v>
      </c>
      <c r="G454" s="6">
        <v>44</v>
      </c>
      <c r="H454" s="6">
        <v>65</v>
      </c>
      <c r="I454" s="6">
        <v>47</v>
      </c>
      <c r="J454" s="6">
        <v>49</v>
      </c>
      <c r="K454" s="6">
        <v>32</v>
      </c>
      <c r="L454" s="6">
        <v>45</v>
      </c>
      <c r="M454" s="6">
        <v>51</v>
      </c>
      <c r="N454" s="6">
        <v>50</v>
      </c>
      <c r="O454" s="6">
        <v>55</v>
      </c>
      <c r="P454" s="6">
        <v>53</v>
      </c>
      <c r="Q454" s="6">
        <v>64</v>
      </c>
      <c r="R454" s="6">
        <v>66</v>
      </c>
      <c r="S454" s="6">
        <v>40</v>
      </c>
      <c r="T454" s="6">
        <v>54</v>
      </c>
      <c r="U454" s="6">
        <v>43</v>
      </c>
      <c r="V454" s="6">
        <v>43</v>
      </c>
      <c r="W454" s="6">
        <v>48</v>
      </c>
      <c r="X454" s="6">
        <v>54</v>
      </c>
      <c r="Y454" s="6">
        <v>52</v>
      </c>
      <c r="Z454" s="6">
        <v>41</v>
      </c>
      <c r="AA454" s="6">
        <v>51</v>
      </c>
    </row>
    <row r="455" spans="2:27" s="5" customFormat="1" x14ac:dyDescent="0.2">
      <c r="B455" s="191"/>
      <c r="C455" s="15" t="s">
        <v>3</v>
      </c>
      <c r="D455" s="39">
        <v>0.7</v>
      </c>
      <c r="E455" s="39">
        <v>0.7</v>
      </c>
      <c r="F455" s="39">
        <v>1</v>
      </c>
      <c r="G455" s="7">
        <v>0.8</v>
      </c>
      <c r="H455" s="7">
        <v>1.3</v>
      </c>
      <c r="I455" s="7">
        <v>1</v>
      </c>
      <c r="J455" s="7">
        <v>0.9</v>
      </c>
      <c r="K455" s="7">
        <v>0.6</v>
      </c>
      <c r="L455" s="7">
        <v>1.2</v>
      </c>
      <c r="M455" s="7">
        <v>1</v>
      </c>
      <c r="N455" s="7">
        <v>1.1000000000000001</v>
      </c>
      <c r="O455" s="7">
        <v>1</v>
      </c>
      <c r="P455" s="7">
        <v>1.1000000000000001</v>
      </c>
      <c r="Q455" s="7">
        <v>1.5</v>
      </c>
      <c r="R455" s="7">
        <v>1.2</v>
      </c>
      <c r="S455" s="7">
        <v>0.7</v>
      </c>
      <c r="T455" s="7">
        <v>0.9</v>
      </c>
      <c r="U455" s="7">
        <v>0.7</v>
      </c>
      <c r="V455" s="7">
        <v>0.9</v>
      </c>
      <c r="W455" s="7">
        <v>1</v>
      </c>
      <c r="X455" s="7">
        <v>1.4</v>
      </c>
      <c r="Y455" s="7">
        <v>1.1000000000000001</v>
      </c>
      <c r="Z455" s="7">
        <v>0.8</v>
      </c>
      <c r="AA455" s="7">
        <v>1.3</v>
      </c>
    </row>
    <row r="456" spans="2:27" s="5" customFormat="1" x14ac:dyDescent="0.2">
      <c r="B456" s="190" t="s">
        <v>143</v>
      </c>
      <c r="C456" s="15" t="s">
        <v>2</v>
      </c>
      <c r="D456" s="39">
        <v>1931936</v>
      </c>
      <c r="E456" s="39">
        <v>193645</v>
      </c>
      <c r="F456" s="39">
        <v>11094</v>
      </c>
      <c r="G456" s="6">
        <v>477</v>
      </c>
      <c r="H456" s="6">
        <v>541</v>
      </c>
      <c r="I456" s="6">
        <v>577</v>
      </c>
      <c r="J456" s="6">
        <v>519</v>
      </c>
      <c r="K456" s="6">
        <v>504</v>
      </c>
      <c r="L456" s="6">
        <v>546</v>
      </c>
      <c r="M456" s="6">
        <v>642</v>
      </c>
      <c r="N456" s="6">
        <v>447</v>
      </c>
      <c r="O456" s="6">
        <v>725</v>
      </c>
      <c r="P456" s="6">
        <v>493</v>
      </c>
      <c r="Q456" s="6">
        <v>447</v>
      </c>
      <c r="R456" s="6">
        <v>578</v>
      </c>
      <c r="S456" s="6">
        <v>559</v>
      </c>
      <c r="T456" s="6">
        <v>501</v>
      </c>
      <c r="U456" s="6">
        <v>482</v>
      </c>
      <c r="V456" s="6">
        <v>569</v>
      </c>
      <c r="W456" s="6">
        <v>514</v>
      </c>
      <c r="X456" s="6">
        <v>414</v>
      </c>
      <c r="Y456" s="6">
        <v>495</v>
      </c>
      <c r="Z456" s="6">
        <v>672</v>
      </c>
      <c r="AA456" s="6">
        <v>392</v>
      </c>
    </row>
    <row r="457" spans="2:27" s="5" customFormat="1" x14ac:dyDescent="0.2">
      <c r="B457" s="191"/>
      <c r="C457" s="15" t="s">
        <v>3</v>
      </c>
      <c r="D457" s="39">
        <v>7.7</v>
      </c>
      <c r="E457" s="39">
        <v>8</v>
      </c>
      <c r="F457" s="39">
        <v>10.7</v>
      </c>
      <c r="G457" s="7">
        <v>8.9</v>
      </c>
      <c r="H457" s="7">
        <v>10.9</v>
      </c>
      <c r="I457" s="7">
        <v>12.2</v>
      </c>
      <c r="J457" s="7">
        <v>10</v>
      </c>
      <c r="K457" s="7">
        <v>10</v>
      </c>
      <c r="L457" s="7">
        <v>14.1</v>
      </c>
      <c r="M457" s="7">
        <v>12.3</v>
      </c>
      <c r="N457" s="7">
        <v>10</v>
      </c>
      <c r="O457" s="7">
        <v>13.1</v>
      </c>
      <c r="P457" s="7">
        <v>9.9</v>
      </c>
      <c r="Q457" s="7">
        <v>10.3</v>
      </c>
      <c r="R457" s="7">
        <v>10.3</v>
      </c>
      <c r="S457" s="7">
        <v>10.4</v>
      </c>
      <c r="T457" s="7">
        <v>8.8000000000000007</v>
      </c>
      <c r="U457" s="7">
        <v>8.1999999999999993</v>
      </c>
      <c r="V457" s="7">
        <v>11.3</v>
      </c>
      <c r="W457" s="7">
        <v>10.7</v>
      </c>
      <c r="X457" s="7">
        <v>10.8</v>
      </c>
      <c r="Y457" s="7">
        <v>10.4</v>
      </c>
      <c r="Z457" s="7">
        <v>13.2</v>
      </c>
      <c r="AA457" s="7">
        <v>10.1</v>
      </c>
    </row>
    <row r="458" spans="2:27" s="5" customFormat="1" x14ac:dyDescent="0.2">
      <c r="B458" s="190" t="s">
        <v>144</v>
      </c>
      <c r="C458" s="15" t="s">
        <v>2</v>
      </c>
      <c r="D458" s="39">
        <v>4007570</v>
      </c>
      <c r="E458" s="39">
        <v>409728</v>
      </c>
      <c r="F458" s="39">
        <v>18143</v>
      </c>
      <c r="G458" s="6">
        <v>961</v>
      </c>
      <c r="H458" s="6">
        <v>891</v>
      </c>
      <c r="I458" s="6">
        <v>829</v>
      </c>
      <c r="J458" s="6">
        <v>921</v>
      </c>
      <c r="K458" s="6">
        <v>823</v>
      </c>
      <c r="L458" s="6">
        <v>751</v>
      </c>
      <c r="M458" s="6">
        <v>930</v>
      </c>
      <c r="N458" s="6">
        <v>701</v>
      </c>
      <c r="O458" s="6">
        <v>959</v>
      </c>
      <c r="P458" s="6">
        <v>885</v>
      </c>
      <c r="Q458" s="6">
        <v>770</v>
      </c>
      <c r="R458" s="6">
        <v>1057</v>
      </c>
      <c r="S458" s="6">
        <v>860</v>
      </c>
      <c r="T458" s="6">
        <v>834</v>
      </c>
      <c r="U458" s="6">
        <v>861</v>
      </c>
      <c r="V458" s="6">
        <v>877</v>
      </c>
      <c r="W458" s="6">
        <v>841</v>
      </c>
      <c r="X458" s="6">
        <v>788</v>
      </c>
      <c r="Y458" s="6">
        <v>913</v>
      </c>
      <c r="Z458" s="6">
        <v>1006</v>
      </c>
      <c r="AA458" s="6">
        <v>685</v>
      </c>
    </row>
    <row r="459" spans="2:27" s="5" customFormat="1" x14ac:dyDescent="0.2">
      <c r="B459" s="191"/>
      <c r="C459" s="15" t="s">
        <v>3</v>
      </c>
      <c r="D459" s="39">
        <v>15.9</v>
      </c>
      <c r="E459" s="39">
        <v>16.899999999999999</v>
      </c>
      <c r="F459" s="39">
        <v>17.5</v>
      </c>
      <c r="G459" s="7">
        <v>17.899999999999999</v>
      </c>
      <c r="H459" s="7">
        <v>18</v>
      </c>
      <c r="I459" s="7">
        <v>17.600000000000001</v>
      </c>
      <c r="J459" s="7">
        <v>17.7</v>
      </c>
      <c r="K459" s="7">
        <v>16.3</v>
      </c>
      <c r="L459" s="7">
        <v>19.5</v>
      </c>
      <c r="M459" s="7">
        <v>17.899999999999999</v>
      </c>
      <c r="N459" s="7">
        <v>15.6</v>
      </c>
      <c r="O459" s="7">
        <v>17.399999999999999</v>
      </c>
      <c r="P459" s="7">
        <v>17.8</v>
      </c>
      <c r="Q459" s="7">
        <v>17.7</v>
      </c>
      <c r="R459" s="7">
        <v>18.8</v>
      </c>
      <c r="S459" s="7">
        <v>16</v>
      </c>
      <c r="T459" s="7">
        <v>14.6</v>
      </c>
      <c r="U459" s="7">
        <v>14.7</v>
      </c>
      <c r="V459" s="7">
        <v>17.5</v>
      </c>
      <c r="W459" s="7">
        <v>17.600000000000001</v>
      </c>
      <c r="X459" s="7">
        <v>20.5</v>
      </c>
      <c r="Y459" s="7">
        <v>19.2</v>
      </c>
      <c r="Z459" s="7">
        <v>19.8</v>
      </c>
      <c r="AA459" s="7">
        <v>17.600000000000001</v>
      </c>
    </row>
    <row r="460" spans="2:27" s="5" customFormat="1" x14ac:dyDescent="0.2">
      <c r="B460" s="190" t="s">
        <v>145</v>
      </c>
      <c r="C460" s="15" t="s">
        <v>2</v>
      </c>
      <c r="D460" s="39">
        <v>1260094</v>
      </c>
      <c r="E460" s="39">
        <v>119806</v>
      </c>
      <c r="F460" s="39">
        <v>5220</v>
      </c>
      <c r="G460" s="6">
        <v>331</v>
      </c>
      <c r="H460" s="6">
        <v>308</v>
      </c>
      <c r="I460" s="6">
        <v>222</v>
      </c>
      <c r="J460" s="6">
        <v>217</v>
      </c>
      <c r="K460" s="6">
        <v>221</v>
      </c>
      <c r="L460" s="6">
        <v>219</v>
      </c>
      <c r="M460" s="6">
        <v>289</v>
      </c>
      <c r="N460" s="6">
        <v>210</v>
      </c>
      <c r="O460" s="6">
        <v>260</v>
      </c>
      <c r="P460" s="6">
        <v>285</v>
      </c>
      <c r="Q460" s="6">
        <v>243</v>
      </c>
      <c r="R460" s="6">
        <v>299</v>
      </c>
      <c r="S460" s="6">
        <v>243</v>
      </c>
      <c r="T460" s="6">
        <v>193</v>
      </c>
      <c r="U460" s="6">
        <v>230</v>
      </c>
      <c r="V460" s="6">
        <v>244</v>
      </c>
      <c r="W460" s="6">
        <v>241</v>
      </c>
      <c r="X460" s="6">
        <v>262</v>
      </c>
      <c r="Y460" s="6">
        <v>251</v>
      </c>
      <c r="Z460" s="6">
        <v>237</v>
      </c>
      <c r="AA460" s="6">
        <v>215</v>
      </c>
    </row>
    <row r="461" spans="2:27" s="5" customFormat="1" x14ac:dyDescent="0.2">
      <c r="B461" s="191"/>
      <c r="C461" s="15" t="s">
        <v>3</v>
      </c>
      <c r="D461" s="39">
        <v>5</v>
      </c>
      <c r="E461" s="39">
        <v>4.9000000000000004</v>
      </c>
      <c r="F461" s="39">
        <v>5</v>
      </c>
      <c r="G461" s="7">
        <v>6.2</v>
      </c>
      <c r="H461" s="7">
        <v>6.2</v>
      </c>
      <c r="I461" s="7">
        <v>4.7</v>
      </c>
      <c r="J461" s="7">
        <v>4.2</v>
      </c>
      <c r="K461" s="7">
        <v>4.4000000000000004</v>
      </c>
      <c r="L461" s="7">
        <v>5.7</v>
      </c>
      <c r="M461" s="7">
        <v>5.5</v>
      </c>
      <c r="N461" s="7">
        <v>4.7</v>
      </c>
      <c r="O461" s="7">
        <v>4.7</v>
      </c>
      <c r="P461" s="7">
        <v>5.7</v>
      </c>
      <c r="Q461" s="7">
        <v>5.6</v>
      </c>
      <c r="R461" s="7">
        <v>5.3</v>
      </c>
      <c r="S461" s="7">
        <v>4.5</v>
      </c>
      <c r="T461" s="7">
        <v>3.4</v>
      </c>
      <c r="U461" s="7">
        <v>3.9</v>
      </c>
      <c r="V461" s="7">
        <v>4.9000000000000004</v>
      </c>
      <c r="W461" s="7">
        <v>5</v>
      </c>
      <c r="X461" s="7">
        <v>6.8</v>
      </c>
      <c r="Y461" s="7">
        <v>5.3</v>
      </c>
      <c r="Z461" s="7">
        <v>4.7</v>
      </c>
      <c r="AA461" s="7">
        <v>5.5</v>
      </c>
    </row>
    <row r="462" spans="2:27" s="5" customFormat="1" x14ac:dyDescent="0.2">
      <c r="B462" s="190" t="s">
        <v>146</v>
      </c>
      <c r="C462" s="15" t="s">
        <v>2</v>
      </c>
      <c r="D462" s="39">
        <v>1399931</v>
      </c>
      <c r="E462" s="39">
        <v>138567</v>
      </c>
      <c r="F462" s="39">
        <v>4664</v>
      </c>
      <c r="G462" s="6">
        <v>289</v>
      </c>
      <c r="H462" s="6">
        <v>218</v>
      </c>
      <c r="I462" s="6">
        <v>183</v>
      </c>
      <c r="J462" s="6">
        <v>211</v>
      </c>
      <c r="K462" s="6">
        <v>214</v>
      </c>
      <c r="L462" s="6">
        <v>151</v>
      </c>
      <c r="M462" s="6">
        <v>193</v>
      </c>
      <c r="N462" s="6">
        <v>206</v>
      </c>
      <c r="O462" s="6">
        <v>246</v>
      </c>
      <c r="P462" s="6">
        <v>288</v>
      </c>
      <c r="Q462" s="6">
        <v>224</v>
      </c>
      <c r="R462" s="6">
        <v>194</v>
      </c>
      <c r="S462" s="6">
        <v>222</v>
      </c>
      <c r="T462" s="6">
        <v>212</v>
      </c>
      <c r="U462" s="6">
        <v>265</v>
      </c>
      <c r="V462" s="6">
        <v>284</v>
      </c>
      <c r="W462" s="6">
        <v>212</v>
      </c>
      <c r="X462" s="6">
        <v>205</v>
      </c>
      <c r="Y462" s="6">
        <v>260</v>
      </c>
      <c r="Z462" s="6">
        <v>215</v>
      </c>
      <c r="AA462" s="6">
        <v>172</v>
      </c>
    </row>
    <row r="463" spans="2:27" s="5" customFormat="1" x14ac:dyDescent="0.2">
      <c r="B463" s="191"/>
      <c r="C463" s="15" t="s">
        <v>3</v>
      </c>
      <c r="D463" s="39">
        <v>5.6</v>
      </c>
      <c r="E463" s="39">
        <v>5.7</v>
      </c>
      <c r="F463" s="39">
        <v>4.5</v>
      </c>
      <c r="G463" s="7">
        <v>5.4</v>
      </c>
      <c r="H463" s="7">
        <v>4.4000000000000004</v>
      </c>
      <c r="I463" s="7">
        <v>3.9</v>
      </c>
      <c r="J463" s="7">
        <v>4.0999999999999996</v>
      </c>
      <c r="K463" s="7">
        <v>4.2</v>
      </c>
      <c r="L463" s="7">
        <v>3.9</v>
      </c>
      <c r="M463" s="7">
        <v>3.7</v>
      </c>
      <c r="N463" s="7">
        <v>4.5999999999999996</v>
      </c>
      <c r="O463" s="7">
        <v>4.5</v>
      </c>
      <c r="P463" s="7">
        <v>5.8</v>
      </c>
      <c r="Q463" s="7">
        <v>5.0999999999999996</v>
      </c>
      <c r="R463" s="7">
        <v>3.5</v>
      </c>
      <c r="S463" s="7">
        <v>4.0999999999999996</v>
      </c>
      <c r="T463" s="7">
        <v>3.7</v>
      </c>
      <c r="U463" s="7">
        <v>4.5</v>
      </c>
      <c r="V463" s="7">
        <v>5.7</v>
      </c>
      <c r="W463" s="7">
        <v>4.4000000000000004</v>
      </c>
      <c r="X463" s="7">
        <v>5.3</v>
      </c>
      <c r="Y463" s="7">
        <v>5.5</v>
      </c>
      <c r="Z463" s="7">
        <v>4.2</v>
      </c>
      <c r="AA463" s="7">
        <v>4.4000000000000004</v>
      </c>
    </row>
    <row r="464" spans="2:27" s="5" customFormat="1" x14ac:dyDescent="0.2">
      <c r="B464" s="190" t="s">
        <v>147</v>
      </c>
      <c r="C464" s="15" t="s">
        <v>2</v>
      </c>
      <c r="D464" s="39">
        <v>1024352</v>
      </c>
      <c r="E464" s="39">
        <v>61646</v>
      </c>
      <c r="F464" s="39">
        <v>2179</v>
      </c>
      <c r="G464" s="6">
        <v>115</v>
      </c>
      <c r="H464" s="6">
        <v>92</v>
      </c>
      <c r="I464" s="6">
        <v>91</v>
      </c>
      <c r="J464" s="6">
        <v>121</v>
      </c>
      <c r="K464" s="6">
        <v>108</v>
      </c>
      <c r="L464" s="6">
        <v>77</v>
      </c>
      <c r="M464" s="6">
        <v>118</v>
      </c>
      <c r="N464" s="6">
        <v>99</v>
      </c>
      <c r="O464" s="6">
        <v>124</v>
      </c>
      <c r="P464" s="6">
        <v>94</v>
      </c>
      <c r="Q464" s="6">
        <v>69</v>
      </c>
      <c r="R464" s="6">
        <v>103</v>
      </c>
      <c r="S464" s="6">
        <v>99</v>
      </c>
      <c r="T464" s="6">
        <v>167</v>
      </c>
      <c r="U464" s="6">
        <v>156</v>
      </c>
      <c r="V464" s="6">
        <v>101</v>
      </c>
      <c r="W464" s="6">
        <v>91</v>
      </c>
      <c r="X464" s="6">
        <v>56</v>
      </c>
      <c r="Y464" s="6">
        <v>115</v>
      </c>
      <c r="Z464" s="6">
        <v>101</v>
      </c>
      <c r="AA464" s="6">
        <v>82</v>
      </c>
    </row>
    <row r="465" spans="2:27" s="5" customFormat="1" x14ac:dyDescent="0.2">
      <c r="B465" s="191"/>
      <c r="C465" s="15" t="s">
        <v>3</v>
      </c>
      <c r="D465" s="39">
        <v>4.0999999999999996</v>
      </c>
      <c r="E465" s="39">
        <v>2.5</v>
      </c>
      <c r="F465" s="39">
        <v>2.1</v>
      </c>
      <c r="G465" s="7">
        <v>2.1</v>
      </c>
      <c r="H465" s="7">
        <v>1.9</v>
      </c>
      <c r="I465" s="7">
        <v>1.9</v>
      </c>
      <c r="J465" s="7">
        <v>2.2999999999999998</v>
      </c>
      <c r="K465" s="7">
        <v>2.1</v>
      </c>
      <c r="L465" s="7">
        <v>2</v>
      </c>
      <c r="M465" s="7">
        <v>2.2999999999999998</v>
      </c>
      <c r="N465" s="7">
        <v>2.2000000000000002</v>
      </c>
      <c r="O465" s="7">
        <v>2.2000000000000002</v>
      </c>
      <c r="P465" s="7">
        <v>1.9</v>
      </c>
      <c r="Q465" s="7">
        <v>1.6</v>
      </c>
      <c r="R465" s="7">
        <v>1.8</v>
      </c>
      <c r="S465" s="7">
        <v>1.8</v>
      </c>
      <c r="T465" s="7">
        <v>2.9</v>
      </c>
      <c r="U465" s="7">
        <v>2.7</v>
      </c>
      <c r="V465" s="7">
        <v>2</v>
      </c>
      <c r="W465" s="7">
        <v>1.9</v>
      </c>
      <c r="X465" s="7">
        <v>1.5</v>
      </c>
      <c r="Y465" s="7">
        <v>2.4</v>
      </c>
      <c r="Z465" s="7">
        <v>2</v>
      </c>
      <c r="AA465" s="7">
        <v>2.1</v>
      </c>
    </row>
    <row r="466" spans="2:27" s="5" customFormat="1" x14ac:dyDescent="0.2">
      <c r="B466" s="190" t="s">
        <v>148</v>
      </c>
      <c r="C466" s="15" t="s">
        <v>2</v>
      </c>
      <c r="D466" s="39">
        <v>1103858</v>
      </c>
      <c r="E466" s="39">
        <v>89939</v>
      </c>
      <c r="F466" s="39">
        <v>2352</v>
      </c>
      <c r="G466" s="6">
        <v>119</v>
      </c>
      <c r="H466" s="6">
        <v>97</v>
      </c>
      <c r="I466" s="6">
        <v>99</v>
      </c>
      <c r="J466" s="6">
        <v>161</v>
      </c>
      <c r="K466" s="6">
        <v>138</v>
      </c>
      <c r="L466" s="6">
        <v>67</v>
      </c>
      <c r="M466" s="6">
        <v>95</v>
      </c>
      <c r="N466" s="6">
        <v>118</v>
      </c>
      <c r="O466" s="6">
        <v>164</v>
      </c>
      <c r="P466" s="6">
        <v>71</v>
      </c>
      <c r="Q466" s="6">
        <v>68</v>
      </c>
      <c r="R466" s="6">
        <v>100</v>
      </c>
      <c r="S466" s="6">
        <v>124</v>
      </c>
      <c r="T466" s="6">
        <v>231</v>
      </c>
      <c r="U466" s="6">
        <v>169</v>
      </c>
      <c r="V466" s="6">
        <v>149</v>
      </c>
      <c r="W466" s="6">
        <v>102</v>
      </c>
      <c r="X466" s="6">
        <v>38</v>
      </c>
      <c r="Y466" s="6">
        <v>92</v>
      </c>
      <c r="Z466" s="6">
        <v>88</v>
      </c>
      <c r="AA466" s="6">
        <v>62</v>
      </c>
    </row>
    <row r="467" spans="2:27" s="5" customFormat="1" x14ac:dyDescent="0.2">
      <c r="B467" s="191"/>
      <c r="C467" s="15" t="s">
        <v>3</v>
      </c>
      <c r="D467" s="39">
        <v>4.4000000000000004</v>
      </c>
      <c r="E467" s="39">
        <v>3.7</v>
      </c>
      <c r="F467" s="39">
        <v>2.2999999999999998</v>
      </c>
      <c r="G467" s="7">
        <v>2.2000000000000002</v>
      </c>
      <c r="H467" s="7">
        <v>2</v>
      </c>
      <c r="I467" s="7">
        <v>2.1</v>
      </c>
      <c r="J467" s="7">
        <v>3.1</v>
      </c>
      <c r="K467" s="7">
        <v>2.7</v>
      </c>
      <c r="L467" s="7">
        <v>1.7</v>
      </c>
      <c r="M467" s="7">
        <v>1.8</v>
      </c>
      <c r="N467" s="7">
        <v>2.6</v>
      </c>
      <c r="O467" s="7">
        <v>3</v>
      </c>
      <c r="P467" s="7">
        <v>1.4</v>
      </c>
      <c r="Q467" s="7">
        <v>1.6</v>
      </c>
      <c r="R467" s="7">
        <v>1.8</v>
      </c>
      <c r="S467" s="7">
        <v>2.2999999999999998</v>
      </c>
      <c r="T467" s="7">
        <v>4.0999999999999996</v>
      </c>
      <c r="U467" s="7">
        <v>2.9</v>
      </c>
      <c r="V467" s="7">
        <v>3</v>
      </c>
      <c r="W467" s="7">
        <v>2.1</v>
      </c>
      <c r="X467" s="7">
        <v>1</v>
      </c>
      <c r="Y467" s="7">
        <v>1.9</v>
      </c>
      <c r="Z467" s="7">
        <v>1.7</v>
      </c>
      <c r="AA467" s="7">
        <v>1.6</v>
      </c>
    </row>
    <row r="468" spans="2:27" s="5" customFormat="1" x14ac:dyDescent="0.2">
      <c r="B468" s="190" t="s">
        <v>149</v>
      </c>
      <c r="C468" s="15" t="s">
        <v>2</v>
      </c>
      <c r="D468" s="39">
        <v>367459</v>
      </c>
      <c r="E468" s="39">
        <v>28928</v>
      </c>
      <c r="F468" s="39">
        <v>1174</v>
      </c>
      <c r="G468" s="6">
        <v>66</v>
      </c>
      <c r="H468" s="6">
        <v>46</v>
      </c>
      <c r="I468" s="6">
        <v>50</v>
      </c>
      <c r="J468" s="6">
        <v>84</v>
      </c>
      <c r="K468" s="6">
        <v>56</v>
      </c>
      <c r="L468" s="6">
        <v>33</v>
      </c>
      <c r="M468" s="6">
        <v>47</v>
      </c>
      <c r="N468" s="6">
        <v>66</v>
      </c>
      <c r="O468" s="6">
        <v>52</v>
      </c>
      <c r="P468" s="6">
        <v>57</v>
      </c>
      <c r="Q468" s="6">
        <v>43</v>
      </c>
      <c r="R468" s="6">
        <v>64</v>
      </c>
      <c r="S468" s="6">
        <v>63</v>
      </c>
      <c r="T468" s="6">
        <v>108</v>
      </c>
      <c r="U468" s="6">
        <v>63</v>
      </c>
      <c r="V468" s="6">
        <v>51</v>
      </c>
      <c r="W468" s="6">
        <v>55</v>
      </c>
      <c r="X468" s="6">
        <v>41</v>
      </c>
      <c r="Y468" s="6">
        <v>51</v>
      </c>
      <c r="Z468" s="6">
        <v>40</v>
      </c>
      <c r="AA468" s="6">
        <v>38</v>
      </c>
    </row>
    <row r="469" spans="2:27" s="5" customFormat="1" x14ac:dyDescent="0.2">
      <c r="B469" s="191"/>
      <c r="C469" s="15" t="s">
        <v>3</v>
      </c>
      <c r="D469" s="39">
        <v>1.5</v>
      </c>
      <c r="E469" s="39">
        <v>1.2</v>
      </c>
      <c r="F469" s="39">
        <v>1.1000000000000001</v>
      </c>
      <c r="G469" s="7">
        <v>1.2</v>
      </c>
      <c r="H469" s="7">
        <v>0.9</v>
      </c>
      <c r="I469" s="7">
        <v>1.1000000000000001</v>
      </c>
      <c r="J469" s="7">
        <v>1.6</v>
      </c>
      <c r="K469" s="7">
        <v>1.1000000000000001</v>
      </c>
      <c r="L469" s="7">
        <v>0.9</v>
      </c>
      <c r="M469" s="7">
        <v>0.9</v>
      </c>
      <c r="N469" s="7">
        <v>1.5</v>
      </c>
      <c r="O469" s="7">
        <v>0.9</v>
      </c>
      <c r="P469" s="7">
        <v>1.1000000000000001</v>
      </c>
      <c r="Q469" s="7">
        <v>1</v>
      </c>
      <c r="R469" s="7">
        <v>1.1000000000000001</v>
      </c>
      <c r="S469" s="7">
        <v>1.2</v>
      </c>
      <c r="T469" s="7">
        <v>1.9</v>
      </c>
      <c r="U469" s="7">
        <v>1.1000000000000001</v>
      </c>
      <c r="V469" s="7">
        <v>1</v>
      </c>
      <c r="W469" s="7">
        <v>1.1000000000000001</v>
      </c>
      <c r="X469" s="7">
        <v>1.1000000000000001</v>
      </c>
      <c r="Y469" s="7">
        <v>1.1000000000000001</v>
      </c>
      <c r="Z469" s="7">
        <v>0.8</v>
      </c>
      <c r="AA469" s="7">
        <v>1</v>
      </c>
    </row>
    <row r="470" spans="2:27" s="5" customFormat="1" x14ac:dyDescent="0.2">
      <c r="B470" s="190" t="s">
        <v>150</v>
      </c>
      <c r="C470" s="15" t="s">
        <v>2</v>
      </c>
      <c r="D470" s="39">
        <v>1687127</v>
      </c>
      <c r="E470" s="39">
        <v>121813</v>
      </c>
      <c r="F470" s="39">
        <v>3852</v>
      </c>
      <c r="G470" s="6">
        <v>236</v>
      </c>
      <c r="H470" s="6">
        <v>138</v>
      </c>
      <c r="I470" s="6">
        <v>163</v>
      </c>
      <c r="J470" s="6">
        <v>252</v>
      </c>
      <c r="K470" s="6">
        <v>225</v>
      </c>
      <c r="L470" s="6">
        <v>102</v>
      </c>
      <c r="M470" s="6">
        <v>151</v>
      </c>
      <c r="N470" s="6">
        <v>197</v>
      </c>
      <c r="O470" s="6">
        <v>189</v>
      </c>
      <c r="P470" s="6">
        <v>184</v>
      </c>
      <c r="Q470" s="6">
        <v>131</v>
      </c>
      <c r="R470" s="6">
        <v>161</v>
      </c>
      <c r="S470" s="6">
        <v>225</v>
      </c>
      <c r="T470" s="6">
        <v>414</v>
      </c>
      <c r="U470" s="6">
        <v>300</v>
      </c>
      <c r="V470" s="6">
        <v>183</v>
      </c>
      <c r="W470" s="6">
        <v>135</v>
      </c>
      <c r="X470" s="6">
        <v>67</v>
      </c>
      <c r="Y470" s="6">
        <v>115</v>
      </c>
      <c r="Z470" s="6">
        <v>164</v>
      </c>
      <c r="AA470" s="6">
        <v>120</v>
      </c>
    </row>
    <row r="471" spans="2:27" s="5" customFormat="1" x14ac:dyDescent="0.2">
      <c r="B471" s="191"/>
      <c r="C471" s="15" t="s">
        <v>3</v>
      </c>
      <c r="D471" s="39">
        <v>6.7</v>
      </c>
      <c r="E471" s="39">
        <v>5</v>
      </c>
      <c r="F471" s="39">
        <v>3.7</v>
      </c>
      <c r="G471" s="7">
        <v>4.4000000000000004</v>
      </c>
      <c r="H471" s="7">
        <v>2.8</v>
      </c>
      <c r="I471" s="7">
        <v>3.5</v>
      </c>
      <c r="J471" s="7">
        <v>4.8</v>
      </c>
      <c r="K471" s="7">
        <v>4.4000000000000004</v>
      </c>
      <c r="L471" s="7">
        <v>2.6</v>
      </c>
      <c r="M471" s="7">
        <v>2.9</v>
      </c>
      <c r="N471" s="7">
        <v>4.4000000000000004</v>
      </c>
      <c r="O471" s="7">
        <v>3.4</v>
      </c>
      <c r="P471" s="7">
        <v>3.7</v>
      </c>
      <c r="Q471" s="7">
        <v>3</v>
      </c>
      <c r="R471" s="7">
        <v>2.9</v>
      </c>
      <c r="S471" s="7">
        <v>4.2</v>
      </c>
      <c r="T471" s="7">
        <v>7.3</v>
      </c>
      <c r="U471" s="7">
        <v>5.0999999999999996</v>
      </c>
      <c r="V471" s="7">
        <v>3.6</v>
      </c>
      <c r="W471" s="7">
        <v>2.8</v>
      </c>
      <c r="X471" s="7">
        <v>1.7</v>
      </c>
      <c r="Y471" s="7">
        <v>2.4</v>
      </c>
      <c r="Z471" s="7">
        <v>3.2</v>
      </c>
      <c r="AA471" s="7">
        <v>3.1</v>
      </c>
    </row>
    <row r="472" spans="2:27" s="5" customFormat="1" x14ac:dyDescent="0.2">
      <c r="B472" s="190" t="s">
        <v>151</v>
      </c>
      <c r="C472" s="15" t="s">
        <v>2</v>
      </c>
      <c r="D472" s="39">
        <v>1239422</v>
      </c>
      <c r="E472" s="39">
        <v>110695</v>
      </c>
      <c r="F472" s="39">
        <v>5480</v>
      </c>
      <c r="G472" s="6">
        <v>290</v>
      </c>
      <c r="H472" s="6">
        <v>265</v>
      </c>
      <c r="I472" s="6">
        <v>281</v>
      </c>
      <c r="J472" s="6">
        <v>203</v>
      </c>
      <c r="K472" s="6">
        <v>205</v>
      </c>
      <c r="L472" s="6">
        <v>280</v>
      </c>
      <c r="M472" s="6">
        <v>451</v>
      </c>
      <c r="N472" s="6">
        <v>184</v>
      </c>
      <c r="O472" s="6">
        <v>284</v>
      </c>
      <c r="P472" s="6">
        <v>240</v>
      </c>
      <c r="Q472" s="6">
        <v>290</v>
      </c>
      <c r="R472" s="6">
        <v>312</v>
      </c>
      <c r="S472" s="6">
        <v>241</v>
      </c>
      <c r="T472" s="6">
        <v>172</v>
      </c>
      <c r="U472" s="6">
        <v>228</v>
      </c>
      <c r="V472" s="6">
        <v>227</v>
      </c>
      <c r="W472" s="6">
        <v>218</v>
      </c>
      <c r="X472" s="6">
        <v>273</v>
      </c>
      <c r="Y472" s="6">
        <v>274</v>
      </c>
      <c r="Z472" s="6">
        <v>337</v>
      </c>
      <c r="AA472" s="6">
        <v>225</v>
      </c>
    </row>
    <row r="473" spans="2:27" s="5" customFormat="1" x14ac:dyDescent="0.2">
      <c r="B473" s="191"/>
      <c r="C473" s="15" t="s">
        <v>3</v>
      </c>
      <c r="D473" s="39">
        <v>4.9000000000000004</v>
      </c>
      <c r="E473" s="39">
        <v>4.5999999999999996</v>
      </c>
      <c r="F473" s="39">
        <v>5.3</v>
      </c>
      <c r="G473" s="7">
        <v>5.4</v>
      </c>
      <c r="H473" s="7">
        <v>5.4</v>
      </c>
      <c r="I473" s="7">
        <v>6</v>
      </c>
      <c r="J473" s="7">
        <v>3.9</v>
      </c>
      <c r="K473" s="7">
        <v>4</v>
      </c>
      <c r="L473" s="7">
        <v>7.3</v>
      </c>
      <c r="M473" s="7">
        <v>8.6999999999999993</v>
      </c>
      <c r="N473" s="7">
        <v>4.0999999999999996</v>
      </c>
      <c r="O473" s="7">
        <v>5.0999999999999996</v>
      </c>
      <c r="P473" s="7">
        <v>4.8</v>
      </c>
      <c r="Q473" s="7">
        <v>6.7</v>
      </c>
      <c r="R473" s="7">
        <v>5.6</v>
      </c>
      <c r="S473" s="7">
        <v>4.5</v>
      </c>
      <c r="T473" s="7">
        <v>3</v>
      </c>
      <c r="U473" s="7">
        <v>3.9</v>
      </c>
      <c r="V473" s="7">
        <v>4.5</v>
      </c>
      <c r="W473" s="7">
        <v>4.5999999999999996</v>
      </c>
      <c r="X473" s="7">
        <v>7.1</v>
      </c>
      <c r="Y473" s="7">
        <v>5.8</v>
      </c>
      <c r="Z473" s="7">
        <v>6.6</v>
      </c>
      <c r="AA473" s="7">
        <v>5.8</v>
      </c>
    </row>
    <row r="474" spans="2:27" s="5" customFormat="1" x14ac:dyDescent="0.2">
      <c r="B474" s="190" t="s">
        <v>152</v>
      </c>
      <c r="C474" s="15" t="s">
        <v>2</v>
      </c>
      <c r="D474" s="39">
        <v>1483450</v>
      </c>
      <c r="E474" s="39">
        <v>143139</v>
      </c>
      <c r="F474" s="39">
        <v>5948</v>
      </c>
      <c r="G474" s="6">
        <v>285</v>
      </c>
      <c r="H474" s="6">
        <v>280</v>
      </c>
      <c r="I474" s="6">
        <v>279</v>
      </c>
      <c r="J474" s="6">
        <v>350</v>
      </c>
      <c r="K474" s="6">
        <v>372</v>
      </c>
      <c r="L474" s="6">
        <v>172</v>
      </c>
      <c r="M474" s="6">
        <v>230</v>
      </c>
      <c r="N474" s="6">
        <v>319</v>
      </c>
      <c r="O474" s="6">
        <v>297</v>
      </c>
      <c r="P474" s="6">
        <v>272</v>
      </c>
      <c r="Q474" s="6">
        <v>193</v>
      </c>
      <c r="R474" s="6">
        <v>336</v>
      </c>
      <c r="S474" s="6">
        <v>355</v>
      </c>
      <c r="T474" s="6">
        <v>383</v>
      </c>
      <c r="U474" s="6">
        <v>371</v>
      </c>
      <c r="V474" s="6">
        <v>295</v>
      </c>
      <c r="W474" s="6">
        <v>312</v>
      </c>
      <c r="X474" s="6">
        <v>126</v>
      </c>
      <c r="Y474" s="6">
        <v>275</v>
      </c>
      <c r="Z474" s="6">
        <v>252</v>
      </c>
      <c r="AA474" s="6">
        <v>194</v>
      </c>
    </row>
    <row r="475" spans="2:27" s="5" customFormat="1" x14ac:dyDescent="0.2">
      <c r="B475" s="191"/>
      <c r="C475" s="15" t="s">
        <v>3</v>
      </c>
      <c r="D475" s="39">
        <v>5.9</v>
      </c>
      <c r="E475" s="39">
        <v>5.9</v>
      </c>
      <c r="F475" s="39">
        <v>5.7</v>
      </c>
      <c r="G475" s="7">
        <v>5.3</v>
      </c>
      <c r="H475" s="7">
        <v>5.7</v>
      </c>
      <c r="I475" s="7">
        <v>5.9</v>
      </c>
      <c r="J475" s="7">
        <v>6.7</v>
      </c>
      <c r="K475" s="7">
        <v>7.3</v>
      </c>
      <c r="L475" s="7">
        <v>4.5</v>
      </c>
      <c r="M475" s="7">
        <v>4.4000000000000004</v>
      </c>
      <c r="N475" s="7">
        <v>7.1</v>
      </c>
      <c r="O475" s="7">
        <v>5.4</v>
      </c>
      <c r="P475" s="7">
        <v>5.5</v>
      </c>
      <c r="Q475" s="7">
        <v>4.4000000000000004</v>
      </c>
      <c r="R475" s="7">
        <v>6</v>
      </c>
      <c r="S475" s="7">
        <v>6.6</v>
      </c>
      <c r="T475" s="7">
        <v>6.7</v>
      </c>
      <c r="U475" s="7">
        <v>6.3</v>
      </c>
      <c r="V475" s="7">
        <v>5.9</v>
      </c>
      <c r="W475" s="7">
        <v>6.5</v>
      </c>
      <c r="X475" s="7">
        <v>3.3</v>
      </c>
      <c r="Y475" s="7">
        <v>5.8</v>
      </c>
      <c r="Z475" s="7">
        <v>5</v>
      </c>
      <c r="AA475" s="7">
        <v>5</v>
      </c>
    </row>
    <row r="476" spans="2:27" s="5" customFormat="1" x14ac:dyDescent="0.2">
      <c r="B476" s="190" t="s">
        <v>153</v>
      </c>
      <c r="C476" s="15" t="s">
        <v>2</v>
      </c>
      <c r="D476" s="39">
        <v>2490199</v>
      </c>
      <c r="E476" s="39">
        <v>245151</v>
      </c>
      <c r="F476" s="39">
        <v>9397</v>
      </c>
      <c r="G476" s="6">
        <v>457</v>
      </c>
      <c r="H476" s="6">
        <v>388</v>
      </c>
      <c r="I476" s="6">
        <v>438</v>
      </c>
      <c r="J476" s="6">
        <v>495</v>
      </c>
      <c r="K476" s="6">
        <v>514</v>
      </c>
      <c r="L476" s="6">
        <v>272</v>
      </c>
      <c r="M476" s="6">
        <v>427</v>
      </c>
      <c r="N476" s="6">
        <v>484</v>
      </c>
      <c r="O476" s="6">
        <v>470</v>
      </c>
      <c r="P476" s="6">
        <v>413</v>
      </c>
      <c r="Q476" s="6">
        <v>348</v>
      </c>
      <c r="R476" s="6">
        <v>488</v>
      </c>
      <c r="S476" s="6">
        <v>529</v>
      </c>
      <c r="T476" s="6">
        <v>645</v>
      </c>
      <c r="U476" s="6">
        <v>778</v>
      </c>
      <c r="V476" s="6">
        <v>416</v>
      </c>
      <c r="W476" s="6">
        <v>442</v>
      </c>
      <c r="X476" s="6">
        <v>264</v>
      </c>
      <c r="Y476" s="6">
        <v>368</v>
      </c>
      <c r="Z476" s="6">
        <v>412</v>
      </c>
      <c r="AA476" s="6">
        <v>349</v>
      </c>
    </row>
    <row r="477" spans="2:27" s="5" customFormat="1" x14ac:dyDescent="0.2">
      <c r="B477" s="191"/>
      <c r="C477" s="15" t="s">
        <v>3</v>
      </c>
      <c r="D477" s="39">
        <v>9.9</v>
      </c>
      <c r="E477" s="39">
        <v>10.1</v>
      </c>
      <c r="F477" s="39">
        <v>9.1</v>
      </c>
      <c r="G477" s="7">
        <v>8.5</v>
      </c>
      <c r="H477" s="7">
        <v>7.9</v>
      </c>
      <c r="I477" s="7">
        <v>9.3000000000000007</v>
      </c>
      <c r="J477" s="7">
        <v>9.5</v>
      </c>
      <c r="K477" s="7">
        <v>10.199999999999999</v>
      </c>
      <c r="L477" s="7">
        <v>7</v>
      </c>
      <c r="M477" s="7">
        <v>8.1999999999999993</v>
      </c>
      <c r="N477" s="7">
        <v>10.8</v>
      </c>
      <c r="O477" s="7">
        <v>8.5</v>
      </c>
      <c r="P477" s="7">
        <v>8.3000000000000007</v>
      </c>
      <c r="Q477" s="7">
        <v>8</v>
      </c>
      <c r="R477" s="7">
        <v>8.6999999999999993</v>
      </c>
      <c r="S477" s="7">
        <v>9.8000000000000007</v>
      </c>
      <c r="T477" s="7">
        <v>11.3</v>
      </c>
      <c r="U477" s="7">
        <v>13.3</v>
      </c>
      <c r="V477" s="7">
        <v>8.3000000000000007</v>
      </c>
      <c r="W477" s="7">
        <v>9.1999999999999993</v>
      </c>
      <c r="X477" s="7">
        <v>6.9</v>
      </c>
      <c r="Y477" s="7">
        <v>7.7</v>
      </c>
      <c r="Z477" s="7">
        <v>8.1</v>
      </c>
      <c r="AA477" s="7">
        <v>9</v>
      </c>
    </row>
    <row r="478" spans="2:27" s="5" customFormat="1" x14ac:dyDescent="0.2">
      <c r="B478" s="190" t="s">
        <v>154</v>
      </c>
      <c r="C478" s="15" t="s">
        <v>2</v>
      </c>
      <c r="D478" s="39">
        <v>3121238</v>
      </c>
      <c r="E478" s="39">
        <v>324227</v>
      </c>
      <c r="F478" s="39">
        <v>14209</v>
      </c>
      <c r="G478" s="6">
        <v>697</v>
      </c>
      <c r="H478" s="6">
        <v>712</v>
      </c>
      <c r="I478" s="6">
        <v>612</v>
      </c>
      <c r="J478" s="6">
        <v>738</v>
      </c>
      <c r="K478" s="6">
        <v>776</v>
      </c>
      <c r="L478" s="6">
        <v>475</v>
      </c>
      <c r="M478" s="6">
        <v>607</v>
      </c>
      <c r="N478" s="6">
        <v>695</v>
      </c>
      <c r="O478" s="6">
        <v>731</v>
      </c>
      <c r="P478" s="6">
        <v>735</v>
      </c>
      <c r="Q478" s="6">
        <v>593</v>
      </c>
      <c r="R478" s="6">
        <v>820</v>
      </c>
      <c r="S478" s="6">
        <v>952</v>
      </c>
      <c r="T478" s="6">
        <v>700</v>
      </c>
      <c r="U478" s="6">
        <v>705</v>
      </c>
      <c r="V478" s="6">
        <v>668</v>
      </c>
      <c r="W478" s="6">
        <v>592</v>
      </c>
      <c r="X478" s="6">
        <v>478</v>
      </c>
      <c r="Y478" s="6">
        <v>695</v>
      </c>
      <c r="Z478" s="6">
        <v>612</v>
      </c>
      <c r="AA478" s="6">
        <v>616</v>
      </c>
    </row>
    <row r="479" spans="2:27" s="5" customFormat="1" x14ac:dyDescent="0.2">
      <c r="B479" s="191"/>
      <c r="C479" s="15" t="s">
        <v>3</v>
      </c>
      <c r="D479" s="39">
        <v>12.4</v>
      </c>
      <c r="E479" s="39">
        <v>13.4</v>
      </c>
      <c r="F479" s="39">
        <v>13.7</v>
      </c>
      <c r="G479" s="7">
        <v>13</v>
      </c>
      <c r="H479" s="7">
        <v>14.4</v>
      </c>
      <c r="I479" s="7">
        <v>13</v>
      </c>
      <c r="J479" s="7">
        <v>14.2</v>
      </c>
      <c r="K479" s="7">
        <v>15.3</v>
      </c>
      <c r="L479" s="7">
        <v>12.3</v>
      </c>
      <c r="M479" s="7">
        <v>11.7</v>
      </c>
      <c r="N479" s="7">
        <v>15.5</v>
      </c>
      <c r="O479" s="7">
        <v>13.3</v>
      </c>
      <c r="P479" s="7">
        <v>14.8</v>
      </c>
      <c r="Q479" s="7">
        <v>13.6</v>
      </c>
      <c r="R479" s="7">
        <v>14.6</v>
      </c>
      <c r="S479" s="7">
        <v>17.7</v>
      </c>
      <c r="T479" s="7">
        <v>12.3</v>
      </c>
      <c r="U479" s="7">
        <v>12</v>
      </c>
      <c r="V479" s="7">
        <v>13.3</v>
      </c>
      <c r="W479" s="7">
        <v>12.4</v>
      </c>
      <c r="X479" s="7">
        <v>12.5</v>
      </c>
      <c r="Y479" s="7">
        <v>14.6</v>
      </c>
      <c r="Z479" s="7">
        <v>12</v>
      </c>
      <c r="AA479" s="7">
        <v>15.9</v>
      </c>
    </row>
    <row r="480" spans="2:27" s="5" customFormat="1" x14ac:dyDescent="0.2">
      <c r="B480" s="190" t="s">
        <v>155</v>
      </c>
      <c r="C480" s="15" t="s">
        <v>2</v>
      </c>
      <c r="D480" s="39">
        <v>1257385</v>
      </c>
      <c r="E480" s="39">
        <v>107517</v>
      </c>
      <c r="F480" s="39">
        <v>4284</v>
      </c>
      <c r="G480" s="6">
        <v>240</v>
      </c>
      <c r="H480" s="6">
        <v>201</v>
      </c>
      <c r="I480" s="6">
        <v>203</v>
      </c>
      <c r="J480" s="6">
        <v>184</v>
      </c>
      <c r="K480" s="6">
        <v>223</v>
      </c>
      <c r="L480" s="6">
        <v>143</v>
      </c>
      <c r="M480" s="6">
        <v>197</v>
      </c>
      <c r="N480" s="6">
        <v>191</v>
      </c>
      <c r="O480" s="6">
        <v>222</v>
      </c>
      <c r="P480" s="6">
        <v>216</v>
      </c>
      <c r="Q480" s="6">
        <v>161</v>
      </c>
      <c r="R480" s="6">
        <v>242</v>
      </c>
      <c r="S480" s="6">
        <v>221</v>
      </c>
      <c r="T480" s="6">
        <v>266</v>
      </c>
      <c r="U480" s="6">
        <v>276</v>
      </c>
      <c r="V480" s="6">
        <v>188</v>
      </c>
      <c r="W480" s="6">
        <v>212</v>
      </c>
      <c r="X480" s="6">
        <v>161</v>
      </c>
      <c r="Y480" s="6">
        <v>163</v>
      </c>
      <c r="Z480" s="6">
        <v>201</v>
      </c>
      <c r="AA480" s="6">
        <v>173</v>
      </c>
    </row>
    <row r="481" spans="1:27" s="5" customFormat="1" x14ac:dyDescent="0.2">
      <c r="B481" s="191"/>
      <c r="C481" s="15" t="s">
        <v>3</v>
      </c>
      <c r="D481" s="39">
        <v>5</v>
      </c>
      <c r="E481" s="39">
        <v>4.4000000000000004</v>
      </c>
      <c r="F481" s="39">
        <v>4.0999999999999996</v>
      </c>
      <c r="G481" s="7">
        <v>4.5</v>
      </c>
      <c r="H481" s="7">
        <v>4.0999999999999996</v>
      </c>
      <c r="I481" s="7">
        <v>4.3</v>
      </c>
      <c r="J481" s="7">
        <v>3.5</v>
      </c>
      <c r="K481" s="7">
        <v>4.4000000000000004</v>
      </c>
      <c r="L481" s="7">
        <v>3.7</v>
      </c>
      <c r="M481" s="7">
        <v>3.8</v>
      </c>
      <c r="N481" s="7">
        <v>4.3</v>
      </c>
      <c r="O481" s="7">
        <v>4</v>
      </c>
      <c r="P481" s="7">
        <v>4.3</v>
      </c>
      <c r="Q481" s="7">
        <v>3.7</v>
      </c>
      <c r="R481" s="7">
        <v>4.3</v>
      </c>
      <c r="S481" s="7">
        <v>4.0999999999999996</v>
      </c>
      <c r="T481" s="7">
        <v>4.7</v>
      </c>
      <c r="U481" s="7">
        <v>4.7</v>
      </c>
      <c r="V481" s="7">
        <v>3.7</v>
      </c>
      <c r="W481" s="7">
        <v>4.4000000000000004</v>
      </c>
      <c r="X481" s="7">
        <v>4.2</v>
      </c>
      <c r="Y481" s="7">
        <v>3.4</v>
      </c>
      <c r="Z481" s="7">
        <v>3.9</v>
      </c>
      <c r="AA481" s="7">
        <v>4.5</v>
      </c>
    </row>
    <row r="482" spans="1:27" s="5" customFormat="1" x14ac:dyDescent="0.2">
      <c r="A482" s="5" t="s">
        <v>276</v>
      </c>
      <c r="B482" s="190" t="s">
        <v>188</v>
      </c>
      <c r="C482" s="15" t="s">
        <v>2</v>
      </c>
      <c r="D482" s="39">
        <v>38881374</v>
      </c>
      <c r="E482" s="39">
        <v>3875219</v>
      </c>
      <c r="F482" s="39">
        <v>170405</v>
      </c>
      <c r="G482" s="6">
        <v>8577</v>
      </c>
      <c r="H482" s="6">
        <v>8006</v>
      </c>
      <c r="I482" s="6">
        <v>7849</v>
      </c>
      <c r="J482" s="6">
        <v>7923</v>
      </c>
      <c r="K482" s="6">
        <v>7857</v>
      </c>
      <c r="L482" s="6">
        <v>7624</v>
      </c>
      <c r="M482" s="6">
        <v>8729</v>
      </c>
      <c r="N482" s="6">
        <v>7205</v>
      </c>
      <c r="O482" s="6">
        <v>8700</v>
      </c>
      <c r="P482" s="6">
        <v>7961</v>
      </c>
      <c r="Q482" s="6">
        <v>7996</v>
      </c>
      <c r="R482" s="6">
        <v>9573</v>
      </c>
      <c r="S482" s="6">
        <v>8100</v>
      </c>
      <c r="T482" s="6">
        <v>8630</v>
      </c>
      <c r="U482" s="6">
        <v>8422</v>
      </c>
      <c r="V482" s="6">
        <v>8128</v>
      </c>
      <c r="W482" s="6">
        <v>7864</v>
      </c>
      <c r="X482" s="6">
        <v>7294</v>
      </c>
      <c r="Y482" s="6">
        <v>8531</v>
      </c>
      <c r="Z482" s="6">
        <v>8376</v>
      </c>
      <c r="AA482" s="6">
        <v>7060</v>
      </c>
    </row>
    <row r="483" spans="1:27" s="5" customFormat="1" x14ac:dyDescent="0.2">
      <c r="B483" s="191"/>
      <c r="C483" s="15" t="s">
        <v>3</v>
      </c>
      <c r="D483" s="39">
        <v>100</v>
      </c>
      <c r="E483" s="39">
        <v>100</v>
      </c>
      <c r="F483" s="39">
        <v>100</v>
      </c>
      <c r="G483" s="7">
        <v>100</v>
      </c>
      <c r="H483" s="7">
        <v>100</v>
      </c>
      <c r="I483" s="7">
        <v>100</v>
      </c>
      <c r="J483" s="7">
        <v>100</v>
      </c>
      <c r="K483" s="7">
        <v>100</v>
      </c>
      <c r="L483" s="7">
        <v>100</v>
      </c>
      <c r="M483" s="7">
        <v>100</v>
      </c>
      <c r="N483" s="7">
        <v>100</v>
      </c>
      <c r="O483" s="7">
        <v>100</v>
      </c>
      <c r="P483" s="7">
        <v>100</v>
      </c>
      <c r="Q483" s="7">
        <v>100</v>
      </c>
      <c r="R483" s="7">
        <v>100</v>
      </c>
      <c r="S483" s="7">
        <v>100</v>
      </c>
      <c r="T483" s="7">
        <v>100</v>
      </c>
      <c r="U483" s="7">
        <v>100</v>
      </c>
      <c r="V483" s="7">
        <v>100</v>
      </c>
      <c r="W483" s="7">
        <v>100</v>
      </c>
      <c r="X483" s="7">
        <v>100</v>
      </c>
      <c r="Y483" s="7">
        <v>100</v>
      </c>
      <c r="Z483" s="7">
        <v>100</v>
      </c>
      <c r="AA483" s="7">
        <v>100</v>
      </c>
    </row>
    <row r="484" spans="1:27" s="5" customFormat="1" x14ac:dyDescent="0.2">
      <c r="B484" s="190" t="s">
        <v>189</v>
      </c>
      <c r="C484" s="15" t="s">
        <v>2</v>
      </c>
      <c r="D484" s="39">
        <v>4045823</v>
      </c>
      <c r="E484" s="39">
        <v>329084</v>
      </c>
      <c r="F484" s="39">
        <v>10550</v>
      </c>
      <c r="G484" s="6">
        <v>458</v>
      </c>
      <c r="H484" s="6">
        <v>354</v>
      </c>
      <c r="I484" s="6">
        <v>459</v>
      </c>
      <c r="J484" s="6">
        <v>647</v>
      </c>
      <c r="K484" s="6">
        <v>660</v>
      </c>
      <c r="L484" s="6">
        <v>262</v>
      </c>
      <c r="M484" s="6">
        <v>356</v>
      </c>
      <c r="N484" s="6">
        <v>643</v>
      </c>
      <c r="O484" s="6">
        <v>496</v>
      </c>
      <c r="P484" s="6">
        <v>366</v>
      </c>
      <c r="Q484" s="6">
        <v>312</v>
      </c>
      <c r="R484" s="6">
        <v>425</v>
      </c>
      <c r="S484" s="6">
        <v>615</v>
      </c>
      <c r="T484" s="6">
        <v>1310</v>
      </c>
      <c r="U484" s="6">
        <v>988</v>
      </c>
      <c r="V484" s="6">
        <v>494</v>
      </c>
      <c r="W484" s="6">
        <v>470</v>
      </c>
      <c r="X484" s="6">
        <v>189</v>
      </c>
      <c r="Y484" s="6">
        <v>344</v>
      </c>
      <c r="Z484" s="6">
        <v>386</v>
      </c>
      <c r="AA484" s="6">
        <v>316</v>
      </c>
    </row>
    <row r="485" spans="1:27" s="5" customFormat="1" x14ac:dyDescent="0.2">
      <c r="B485" s="191"/>
      <c r="C485" s="15" t="s">
        <v>3</v>
      </c>
      <c r="D485" s="39">
        <v>10.4</v>
      </c>
      <c r="E485" s="39">
        <v>8.5</v>
      </c>
      <c r="F485" s="39">
        <v>6.2</v>
      </c>
      <c r="G485" s="7">
        <v>5.3</v>
      </c>
      <c r="H485" s="7">
        <v>4.4000000000000004</v>
      </c>
      <c r="I485" s="7">
        <v>5.8</v>
      </c>
      <c r="J485" s="7">
        <v>8.1999999999999993</v>
      </c>
      <c r="K485" s="7">
        <v>8.4</v>
      </c>
      <c r="L485" s="7">
        <v>3.4</v>
      </c>
      <c r="M485" s="7">
        <v>4.0999999999999996</v>
      </c>
      <c r="N485" s="7">
        <v>8.9</v>
      </c>
      <c r="O485" s="7">
        <v>5.7</v>
      </c>
      <c r="P485" s="7">
        <v>4.5999999999999996</v>
      </c>
      <c r="Q485" s="7">
        <v>3.9</v>
      </c>
      <c r="R485" s="7">
        <v>4.4000000000000004</v>
      </c>
      <c r="S485" s="7">
        <v>7.6</v>
      </c>
      <c r="T485" s="7">
        <v>15.2</v>
      </c>
      <c r="U485" s="7">
        <v>11.7</v>
      </c>
      <c r="V485" s="7">
        <v>6.1</v>
      </c>
      <c r="W485" s="7">
        <v>6</v>
      </c>
      <c r="X485" s="7">
        <v>2.6</v>
      </c>
      <c r="Y485" s="7">
        <v>4</v>
      </c>
      <c r="Z485" s="7">
        <v>4.5999999999999996</v>
      </c>
      <c r="AA485" s="7">
        <v>4.5</v>
      </c>
    </row>
    <row r="486" spans="1:27" s="5" customFormat="1" x14ac:dyDescent="0.2">
      <c r="B486" s="190" t="s">
        <v>190</v>
      </c>
      <c r="C486" s="15" t="s">
        <v>2</v>
      </c>
      <c r="D486" s="39">
        <v>926352</v>
      </c>
      <c r="E486" s="39">
        <v>81347</v>
      </c>
      <c r="F486" s="39">
        <v>3178</v>
      </c>
      <c r="G486" s="6">
        <v>125</v>
      </c>
      <c r="H486" s="6">
        <v>113</v>
      </c>
      <c r="I486" s="6">
        <v>128</v>
      </c>
      <c r="J486" s="6">
        <v>191</v>
      </c>
      <c r="K486" s="6">
        <v>174</v>
      </c>
      <c r="L486" s="6">
        <v>87</v>
      </c>
      <c r="M486" s="6">
        <v>121</v>
      </c>
      <c r="N486" s="6">
        <v>178</v>
      </c>
      <c r="O486" s="6">
        <v>142</v>
      </c>
      <c r="P486" s="6">
        <v>110</v>
      </c>
      <c r="Q486" s="6">
        <v>118</v>
      </c>
      <c r="R486" s="6">
        <v>143</v>
      </c>
      <c r="S486" s="6">
        <v>172</v>
      </c>
      <c r="T486" s="6">
        <v>393</v>
      </c>
      <c r="U486" s="6">
        <v>273</v>
      </c>
      <c r="V486" s="6">
        <v>153</v>
      </c>
      <c r="W486" s="6">
        <v>153</v>
      </c>
      <c r="X486" s="6">
        <v>51</v>
      </c>
      <c r="Y486" s="6">
        <v>118</v>
      </c>
      <c r="Z486" s="6">
        <v>132</v>
      </c>
      <c r="AA486" s="6">
        <v>103</v>
      </c>
    </row>
    <row r="487" spans="1:27" s="5" customFormat="1" x14ac:dyDescent="0.2">
      <c r="B487" s="191"/>
      <c r="C487" s="15" t="s">
        <v>3</v>
      </c>
      <c r="D487" s="39">
        <v>2.4</v>
      </c>
      <c r="E487" s="39">
        <v>2.1</v>
      </c>
      <c r="F487" s="39">
        <v>1.9</v>
      </c>
      <c r="G487" s="7">
        <v>1.5</v>
      </c>
      <c r="H487" s="7">
        <v>1.4</v>
      </c>
      <c r="I487" s="7">
        <v>1.6</v>
      </c>
      <c r="J487" s="7">
        <v>2.4</v>
      </c>
      <c r="K487" s="7">
        <v>2.2000000000000002</v>
      </c>
      <c r="L487" s="7">
        <v>1.1000000000000001</v>
      </c>
      <c r="M487" s="7">
        <v>1.4</v>
      </c>
      <c r="N487" s="7">
        <v>2.5</v>
      </c>
      <c r="O487" s="7">
        <v>1.6</v>
      </c>
      <c r="P487" s="7">
        <v>1.4</v>
      </c>
      <c r="Q487" s="7">
        <v>1.5</v>
      </c>
      <c r="R487" s="7">
        <v>1.5</v>
      </c>
      <c r="S487" s="7">
        <v>2.1</v>
      </c>
      <c r="T487" s="7">
        <v>4.5999999999999996</v>
      </c>
      <c r="U487" s="7">
        <v>3.2</v>
      </c>
      <c r="V487" s="7">
        <v>1.9</v>
      </c>
      <c r="W487" s="7">
        <v>1.9</v>
      </c>
      <c r="X487" s="7">
        <v>0.7</v>
      </c>
      <c r="Y487" s="7">
        <v>1.4</v>
      </c>
      <c r="Z487" s="7">
        <v>1.6</v>
      </c>
      <c r="AA487" s="7">
        <v>1.5</v>
      </c>
    </row>
    <row r="488" spans="1:27" s="5" customFormat="1" x14ac:dyDescent="0.2">
      <c r="B488" s="190" t="s">
        <v>191</v>
      </c>
      <c r="C488" s="15" t="s">
        <v>2</v>
      </c>
      <c r="D488" s="39">
        <v>3119471</v>
      </c>
      <c r="E488" s="39">
        <v>247737</v>
      </c>
      <c r="F488" s="39">
        <v>7372</v>
      </c>
      <c r="G488" s="6">
        <v>333</v>
      </c>
      <c r="H488" s="6">
        <v>241</v>
      </c>
      <c r="I488" s="6">
        <v>331</v>
      </c>
      <c r="J488" s="6">
        <v>456</v>
      </c>
      <c r="K488" s="6">
        <v>486</v>
      </c>
      <c r="L488" s="6">
        <v>175</v>
      </c>
      <c r="M488" s="6">
        <v>235</v>
      </c>
      <c r="N488" s="6">
        <v>465</v>
      </c>
      <c r="O488" s="6">
        <v>354</v>
      </c>
      <c r="P488" s="6">
        <v>256</v>
      </c>
      <c r="Q488" s="6">
        <v>194</v>
      </c>
      <c r="R488" s="6">
        <v>282</v>
      </c>
      <c r="S488" s="6">
        <v>443</v>
      </c>
      <c r="T488" s="6">
        <v>917</v>
      </c>
      <c r="U488" s="6">
        <v>715</v>
      </c>
      <c r="V488" s="6">
        <v>341</v>
      </c>
      <c r="W488" s="6">
        <v>317</v>
      </c>
      <c r="X488" s="6">
        <v>138</v>
      </c>
      <c r="Y488" s="6">
        <v>226</v>
      </c>
      <c r="Z488" s="6">
        <v>254</v>
      </c>
      <c r="AA488" s="6">
        <v>213</v>
      </c>
    </row>
    <row r="489" spans="1:27" s="5" customFormat="1" x14ac:dyDescent="0.2">
      <c r="B489" s="191"/>
      <c r="C489" s="15" t="s">
        <v>3</v>
      </c>
      <c r="D489" s="39">
        <v>8</v>
      </c>
      <c r="E489" s="39">
        <v>6.4</v>
      </c>
      <c r="F489" s="39">
        <v>4.3</v>
      </c>
      <c r="G489" s="7">
        <v>3.9</v>
      </c>
      <c r="H489" s="7">
        <v>3</v>
      </c>
      <c r="I489" s="7">
        <v>4.2</v>
      </c>
      <c r="J489" s="7">
        <v>5.8</v>
      </c>
      <c r="K489" s="7">
        <v>6.2</v>
      </c>
      <c r="L489" s="7">
        <v>2.2999999999999998</v>
      </c>
      <c r="M489" s="7">
        <v>2.7</v>
      </c>
      <c r="N489" s="7">
        <v>6.5</v>
      </c>
      <c r="O489" s="7">
        <v>4.0999999999999996</v>
      </c>
      <c r="P489" s="7">
        <v>3.2</v>
      </c>
      <c r="Q489" s="7">
        <v>2.4</v>
      </c>
      <c r="R489" s="7">
        <v>2.9</v>
      </c>
      <c r="S489" s="7">
        <v>5.5</v>
      </c>
      <c r="T489" s="7">
        <v>10.6</v>
      </c>
      <c r="U489" s="7">
        <v>8.5</v>
      </c>
      <c r="V489" s="7">
        <v>4.2</v>
      </c>
      <c r="W489" s="7">
        <v>4</v>
      </c>
      <c r="X489" s="7">
        <v>1.9</v>
      </c>
      <c r="Y489" s="7">
        <v>2.6</v>
      </c>
      <c r="Z489" s="7">
        <v>3</v>
      </c>
      <c r="AA489" s="7">
        <v>3</v>
      </c>
    </row>
    <row r="490" spans="1:27" s="5" customFormat="1" x14ac:dyDescent="0.2">
      <c r="B490" s="190" t="s">
        <v>192</v>
      </c>
      <c r="C490" s="15" t="s">
        <v>2</v>
      </c>
      <c r="D490" s="39">
        <v>8132107</v>
      </c>
      <c r="E490" s="39">
        <v>730033</v>
      </c>
      <c r="F490" s="39">
        <v>29139</v>
      </c>
      <c r="G490" s="6">
        <v>1385</v>
      </c>
      <c r="H490" s="6">
        <v>1158</v>
      </c>
      <c r="I490" s="6">
        <v>1319</v>
      </c>
      <c r="J490" s="6">
        <v>1688</v>
      </c>
      <c r="K490" s="6">
        <v>1687</v>
      </c>
      <c r="L490" s="6">
        <v>782</v>
      </c>
      <c r="M490" s="6">
        <v>1154</v>
      </c>
      <c r="N490" s="6">
        <v>1590</v>
      </c>
      <c r="O490" s="6">
        <v>1499</v>
      </c>
      <c r="P490" s="6">
        <v>1197</v>
      </c>
      <c r="Q490" s="6">
        <v>1028</v>
      </c>
      <c r="R490" s="6">
        <v>1447</v>
      </c>
      <c r="S490" s="6">
        <v>1650</v>
      </c>
      <c r="T490" s="6">
        <v>2360</v>
      </c>
      <c r="U490" s="6">
        <v>2055</v>
      </c>
      <c r="V490" s="6">
        <v>1390</v>
      </c>
      <c r="W490" s="6">
        <v>1350</v>
      </c>
      <c r="X490" s="6">
        <v>748</v>
      </c>
      <c r="Y490" s="6">
        <v>1280</v>
      </c>
      <c r="Z490" s="6">
        <v>1295</v>
      </c>
      <c r="AA490" s="6">
        <v>1077</v>
      </c>
    </row>
    <row r="491" spans="1:27" s="5" customFormat="1" x14ac:dyDescent="0.2">
      <c r="B491" s="191"/>
      <c r="C491" s="15" t="s">
        <v>3</v>
      </c>
      <c r="D491" s="39">
        <v>20.9</v>
      </c>
      <c r="E491" s="39">
        <v>18.8</v>
      </c>
      <c r="F491" s="39">
        <v>17.100000000000001</v>
      </c>
      <c r="G491" s="7">
        <v>16.100000000000001</v>
      </c>
      <c r="H491" s="7">
        <v>14.5</v>
      </c>
      <c r="I491" s="7">
        <v>16.8</v>
      </c>
      <c r="J491" s="7">
        <v>21.3</v>
      </c>
      <c r="K491" s="7">
        <v>21.5</v>
      </c>
      <c r="L491" s="7">
        <v>10.3</v>
      </c>
      <c r="M491" s="7">
        <v>13.2</v>
      </c>
      <c r="N491" s="7">
        <v>22.1</v>
      </c>
      <c r="O491" s="7">
        <v>17.2</v>
      </c>
      <c r="P491" s="7">
        <v>15</v>
      </c>
      <c r="Q491" s="7">
        <v>12.9</v>
      </c>
      <c r="R491" s="7">
        <v>15.1</v>
      </c>
      <c r="S491" s="7">
        <v>20.399999999999999</v>
      </c>
      <c r="T491" s="7">
        <v>27.3</v>
      </c>
      <c r="U491" s="7">
        <v>24.4</v>
      </c>
      <c r="V491" s="7">
        <v>17.100000000000001</v>
      </c>
      <c r="W491" s="7">
        <v>17.2</v>
      </c>
      <c r="X491" s="7">
        <v>10.3</v>
      </c>
      <c r="Y491" s="7">
        <v>15</v>
      </c>
      <c r="Z491" s="7">
        <v>15.5</v>
      </c>
      <c r="AA491" s="7">
        <v>15.3</v>
      </c>
    </row>
    <row r="492" spans="1:27" s="5" customFormat="1" x14ac:dyDescent="0.2">
      <c r="B492" s="190" t="s">
        <v>193</v>
      </c>
      <c r="C492" s="15" t="s">
        <v>2</v>
      </c>
      <c r="D492" s="39">
        <v>4972044</v>
      </c>
      <c r="E492" s="39">
        <v>472161</v>
      </c>
      <c r="F492" s="39">
        <v>20618</v>
      </c>
      <c r="G492" s="6">
        <v>1027</v>
      </c>
      <c r="H492" s="6">
        <v>972</v>
      </c>
      <c r="I492" s="6">
        <v>993</v>
      </c>
      <c r="J492" s="6">
        <v>1021</v>
      </c>
      <c r="K492" s="6">
        <v>1030</v>
      </c>
      <c r="L492" s="6">
        <v>834</v>
      </c>
      <c r="M492" s="6">
        <v>1164</v>
      </c>
      <c r="N492" s="6">
        <v>985</v>
      </c>
      <c r="O492" s="6">
        <v>1105</v>
      </c>
      <c r="P492" s="6">
        <v>896</v>
      </c>
      <c r="Q492" s="6">
        <v>784</v>
      </c>
      <c r="R492" s="6">
        <v>1074</v>
      </c>
      <c r="S492" s="6">
        <v>1109</v>
      </c>
      <c r="T492" s="6">
        <v>1110</v>
      </c>
      <c r="U492" s="6">
        <v>1062</v>
      </c>
      <c r="V492" s="6">
        <v>1116</v>
      </c>
      <c r="W492" s="6">
        <v>942</v>
      </c>
      <c r="X492" s="6">
        <v>602</v>
      </c>
      <c r="Y492" s="6">
        <v>960</v>
      </c>
      <c r="Z492" s="6">
        <v>1070</v>
      </c>
      <c r="AA492" s="6">
        <v>762</v>
      </c>
    </row>
    <row r="493" spans="1:27" s="5" customFormat="1" x14ac:dyDescent="0.2">
      <c r="B493" s="191"/>
      <c r="C493" s="15" t="s">
        <v>3</v>
      </c>
      <c r="D493" s="39">
        <v>12.8</v>
      </c>
      <c r="E493" s="39">
        <v>12.2</v>
      </c>
      <c r="F493" s="39">
        <v>12.1</v>
      </c>
      <c r="G493" s="7">
        <v>12</v>
      </c>
      <c r="H493" s="7">
        <v>12.1</v>
      </c>
      <c r="I493" s="7">
        <v>12.7</v>
      </c>
      <c r="J493" s="7">
        <v>12.9</v>
      </c>
      <c r="K493" s="7">
        <v>13.1</v>
      </c>
      <c r="L493" s="7">
        <v>10.9</v>
      </c>
      <c r="M493" s="7">
        <v>13.3</v>
      </c>
      <c r="N493" s="7">
        <v>13.7</v>
      </c>
      <c r="O493" s="7">
        <v>12.7</v>
      </c>
      <c r="P493" s="7">
        <v>11.3</v>
      </c>
      <c r="Q493" s="7">
        <v>9.8000000000000007</v>
      </c>
      <c r="R493" s="7">
        <v>11.2</v>
      </c>
      <c r="S493" s="7">
        <v>13.7</v>
      </c>
      <c r="T493" s="7">
        <v>12.9</v>
      </c>
      <c r="U493" s="7">
        <v>12.6</v>
      </c>
      <c r="V493" s="7">
        <v>13.7</v>
      </c>
      <c r="W493" s="7">
        <v>12</v>
      </c>
      <c r="X493" s="7">
        <v>8.3000000000000007</v>
      </c>
      <c r="Y493" s="7">
        <v>11.3</v>
      </c>
      <c r="Z493" s="7">
        <v>12.8</v>
      </c>
      <c r="AA493" s="7">
        <v>10.8</v>
      </c>
    </row>
    <row r="494" spans="1:27" s="5" customFormat="1" x14ac:dyDescent="0.2">
      <c r="B494" s="190" t="s">
        <v>194</v>
      </c>
      <c r="C494" s="15" t="s">
        <v>2</v>
      </c>
      <c r="D494" s="39">
        <v>3662611</v>
      </c>
      <c r="E494" s="39">
        <v>339876</v>
      </c>
      <c r="F494" s="39">
        <v>14880</v>
      </c>
      <c r="G494" s="6">
        <v>662</v>
      </c>
      <c r="H494" s="6">
        <v>677</v>
      </c>
      <c r="I494" s="6">
        <v>709</v>
      </c>
      <c r="J494" s="6">
        <v>760</v>
      </c>
      <c r="K494" s="6">
        <v>712</v>
      </c>
      <c r="L494" s="6">
        <v>603</v>
      </c>
      <c r="M494" s="6">
        <v>716</v>
      </c>
      <c r="N494" s="6">
        <v>664</v>
      </c>
      <c r="O494" s="6">
        <v>707</v>
      </c>
      <c r="P494" s="6">
        <v>638</v>
      </c>
      <c r="Q494" s="6">
        <v>677</v>
      </c>
      <c r="R494" s="6">
        <v>826</v>
      </c>
      <c r="S494" s="6">
        <v>730</v>
      </c>
      <c r="T494" s="6">
        <v>1147</v>
      </c>
      <c r="U494" s="6">
        <v>911</v>
      </c>
      <c r="V494" s="6">
        <v>680</v>
      </c>
      <c r="W494" s="6">
        <v>633</v>
      </c>
      <c r="X494" s="6">
        <v>528</v>
      </c>
      <c r="Y494" s="6">
        <v>621</v>
      </c>
      <c r="Z494" s="6">
        <v>646</v>
      </c>
      <c r="AA494" s="6">
        <v>633</v>
      </c>
    </row>
    <row r="495" spans="1:27" s="5" customFormat="1" x14ac:dyDescent="0.2">
      <c r="B495" s="191"/>
      <c r="C495" s="15" t="s">
        <v>3</v>
      </c>
      <c r="D495" s="39">
        <v>9.4</v>
      </c>
      <c r="E495" s="39">
        <v>8.8000000000000007</v>
      </c>
      <c r="F495" s="39">
        <v>8.6999999999999993</v>
      </c>
      <c r="G495" s="7">
        <v>7.7</v>
      </c>
      <c r="H495" s="7">
        <v>8.5</v>
      </c>
      <c r="I495" s="7">
        <v>9</v>
      </c>
      <c r="J495" s="7">
        <v>9.6</v>
      </c>
      <c r="K495" s="7">
        <v>9.1</v>
      </c>
      <c r="L495" s="7">
        <v>7.9</v>
      </c>
      <c r="M495" s="7">
        <v>8.1999999999999993</v>
      </c>
      <c r="N495" s="7">
        <v>9.1999999999999993</v>
      </c>
      <c r="O495" s="7">
        <v>8.1</v>
      </c>
      <c r="P495" s="7">
        <v>8</v>
      </c>
      <c r="Q495" s="7">
        <v>8.5</v>
      </c>
      <c r="R495" s="7">
        <v>8.6</v>
      </c>
      <c r="S495" s="7">
        <v>9</v>
      </c>
      <c r="T495" s="7">
        <v>13.3</v>
      </c>
      <c r="U495" s="7">
        <v>10.8</v>
      </c>
      <c r="V495" s="7">
        <v>8.4</v>
      </c>
      <c r="W495" s="7">
        <v>8</v>
      </c>
      <c r="X495" s="7">
        <v>7.2</v>
      </c>
      <c r="Y495" s="7">
        <v>7.3</v>
      </c>
      <c r="Z495" s="7">
        <v>7.7</v>
      </c>
      <c r="AA495" s="7">
        <v>9</v>
      </c>
    </row>
    <row r="496" spans="1:27" s="5" customFormat="1" x14ac:dyDescent="0.2">
      <c r="B496" s="190" t="s">
        <v>195</v>
      </c>
      <c r="C496" s="15" t="s">
        <v>2</v>
      </c>
      <c r="D496" s="39">
        <v>2676118</v>
      </c>
      <c r="E496" s="39">
        <v>293094</v>
      </c>
      <c r="F496" s="39">
        <v>14659</v>
      </c>
      <c r="G496" s="6">
        <v>771</v>
      </c>
      <c r="H496" s="6">
        <v>770</v>
      </c>
      <c r="I496" s="6">
        <v>683</v>
      </c>
      <c r="J496" s="6">
        <v>674</v>
      </c>
      <c r="K496" s="6">
        <v>658</v>
      </c>
      <c r="L496" s="6">
        <v>677</v>
      </c>
      <c r="M496" s="6">
        <v>862</v>
      </c>
      <c r="N496" s="6">
        <v>584</v>
      </c>
      <c r="O496" s="6">
        <v>762</v>
      </c>
      <c r="P496" s="6">
        <v>678</v>
      </c>
      <c r="Q496" s="6">
        <v>754</v>
      </c>
      <c r="R496" s="6">
        <v>848</v>
      </c>
      <c r="S496" s="6">
        <v>645</v>
      </c>
      <c r="T496" s="6">
        <v>524</v>
      </c>
      <c r="U496" s="6">
        <v>580</v>
      </c>
      <c r="V496" s="6">
        <v>717</v>
      </c>
      <c r="W496" s="6">
        <v>704</v>
      </c>
      <c r="X496" s="6">
        <v>658</v>
      </c>
      <c r="Y496" s="6">
        <v>768</v>
      </c>
      <c r="Z496" s="6">
        <v>710</v>
      </c>
      <c r="AA496" s="6">
        <v>632</v>
      </c>
    </row>
    <row r="497" spans="2:27" s="5" customFormat="1" x14ac:dyDescent="0.2">
      <c r="B497" s="191"/>
      <c r="C497" s="15" t="s">
        <v>3</v>
      </c>
      <c r="D497" s="39">
        <v>6.9</v>
      </c>
      <c r="E497" s="39">
        <v>7.6</v>
      </c>
      <c r="F497" s="39">
        <v>8.6</v>
      </c>
      <c r="G497" s="7">
        <v>9</v>
      </c>
      <c r="H497" s="7">
        <v>9.6</v>
      </c>
      <c r="I497" s="7">
        <v>8.6999999999999993</v>
      </c>
      <c r="J497" s="7">
        <v>8.5</v>
      </c>
      <c r="K497" s="7">
        <v>8.4</v>
      </c>
      <c r="L497" s="7">
        <v>8.9</v>
      </c>
      <c r="M497" s="7">
        <v>9.9</v>
      </c>
      <c r="N497" s="7">
        <v>8.1</v>
      </c>
      <c r="O497" s="7">
        <v>8.8000000000000007</v>
      </c>
      <c r="P497" s="7">
        <v>8.5</v>
      </c>
      <c r="Q497" s="7">
        <v>9.4</v>
      </c>
      <c r="R497" s="7">
        <v>8.9</v>
      </c>
      <c r="S497" s="7">
        <v>8</v>
      </c>
      <c r="T497" s="7">
        <v>6.1</v>
      </c>
      <c r="U497" s="7">
        <v>6.9</v>
      </c>
      <c r="V497" s="7">
        <v>8.8000000000000007</v>
      </c>
      <c r="W497" s="7">
        <v>9</v>
      </c>
      <c r="X497" s="7">
        <v>9</v>
      </c>
      <c r="Y497" s="7">
        <v>9</v>
      </c>
      <c r="Z497" s="7">
        <v>8.5</v>
      </c>
      <c r="AA497" s="7">
        <v>9</v>
      </c>
    </row>
    <row r="498" spans="2:27" s="5" customFormat="1" x14ac:dyDescent="0.2">
      <c r="B498" s="190" t="s">
        <v>196</v>
      </c>
      <c r="C498" s="15" t="s">
        <v>2</v>
      </c>
      <c r="D498" s="39">
        <v>5430863</v>
      </c>
      <c r="E498" s="39">
        <v>591628</v>
      </c>
      <c r="F498" s="39">
        <v>29435</v>
      </c>
      <c r="G498" s="6">
        <v>1568</v>
      </c>
      <c r="H498" s="6">
        <v>1588</v>
      </c>
      <c r="I498" s="6">
        <v>1368</v>
      </c>
      <c r="J498" s="6">
        <v>1244</v>
      </c>
      <c r="K498" s="6">
        <v>1145</v>
      </c>
      <c r="L498" s="6">
        <v>1427</v>
      </c>
      <c r="M498" s="6">
        <v>1525</v>
      </c>
      <c r="N498" s="6">
        <v>1018</v>
      </c>
      <c r="O498" s="6">
        <v>1503</v>
      </c>
      <c r="P498" s="6">
        <v>1496</v>
      </c>
      <c r="Q498" s="6">
        <v>1667</v>
      </c>
      <c r="R498" s="6">
        <v>1792</v>
      </c>
      <c r="S498" s="6">
        <v>1178</v>
      </c>
      <c r="T498" s="6">
        <v>852</v>
      </c>
      <c r="U498" s="6">
        <v>1118</v>
      </c>
      <c r="V498" s="6">
        <v>1398</v>
      </c>
      <c r="W498" s="6">
        <v>1460</v>
      </c>
      <c r="X498" s="6">
        <v>1556</v>
      </c>
      <c r="Y498" s="6">
        <v>1588</v>
      </c>
      <c r="Z498" s="6">
        <v>1679</v>
      </c>
      <c r="AA498" s="6">
        <v>1265</v>
      </c>
    </row>
    <row r="499" spans="2:27" s="5" customFormat="1" x14ac:dyDescent="0.2">
      <c r="B499" s="191"/>
      <c r="C499" s="15" t="s">
        <v>3</v>
      </c>
      <c r="D499" s="39">
        <v>14</v>
      </c>
      <c r="E499" s="39">
        <v>15.3</v>
      </c>
      <c r="F499" s="39">
        <v>17.3</v>
      </c>
      <c r="G499" s="7">
        <v>18.3</v>
      </c>
      <c r="H499" s="7">
        <v>19.8</v>
      </c>
      <c r="I499" s="7">
        <v>17.399999999999999</v>
      </c>
      <c r="J499" s="7">
        <v>15.7</v>
      </c>
      <c r="K499" s="7">
        <v>14.6</v>
      </c>
      <c r="L499" s="7">
        <v>18.7</v>
      </c>
      <c r="M499" s="7">
        <v>17.5</v>
      </c>
      <c r="N499" s="7">
        <v>14.1</v>
      </c>
      <c r="O499" s="7">
        <v>17.3</v>
      </c>
      <c r="P499" s="7">
        <v>18.8</v>
      </c>
      <c r="Q499" s="7">
        <v>20.8</v>
      </c>
      <c r="R499" s="7">
        <v>18.7</v>
      </c>
      <c r="S499" s="7">
        <v>14.5</v>
      </c>
      <c r="T499" s="7">
        <v>9.9</v>
      </c>
      <c r="U499" s="7">
        <v>13.3</v>
      </c>
      <c r="V499" s="7">
        <v>17.2</v>
      </c>
      <c r="W499" s="7">
        <v>18.600000000000001</v>
      </c>
      <c r="X499" s="7">
        <v>21.3</v>
      </c>
      <c r="Y499" s="7">
        <v>18.600000000000001</v>
      </c>
      <c r="Z499" s="7">
        <v>20</v>
      </c>
      <c r="AA499" s="7">
        <v>17.899999999999999</v>
      </c>
    </row>
    <row r="500" spans="2:27" s="5" customFormat="1" x14ac:dyDescent="0.2">
      <c r="B500" s="190" t="s">
        <v>197</v>
      </c>
      <c r="C500" s="15" t="s">
        <v>2</v>
      </c>
      <c r="D500" s="39">
        <v>4277483</v>
      </c>
      <c r="E500" s="39">
        <v>516359</v>
      </c>
      <c r="F500" s="39">
        <v>30588</v>
      </c>
      <c r="G500" s="6">
        <v>1598</v>
      </c>
      <c r="H500" s="6">
        <v>1543</v>
      </c>
      <c r="I500" s="6">
        <v>1333</v>
      </c>
      <c r="J500" s="6">
        <v>1121</v>
      </c>
      <c r="K500" s="6">
        <v>1207</v>
      </c>
      <c r="L500" s="6">
        <v>1851</v>
      </c>
      <c r="M500" s="6">
        <v>1814</v>
      </c>
      <c r="N500" s="6">
        <v>1037</v>
      </c>
      <c r="O500" s="6">
        <v>1568</v>
      </c>
      <c r="P500" s="6">
        <v>1605</v>
      </c>
      <c r="Q500" s="6">
        <v>1681</v>
      </c>
      <c r="R500" s="6">
        <v>1960</v>
      </c>
      <c r="S500" s="6">
        <v>1213</v>
      </c>
      <c r="T500" s="6">
        <v>674</v>
      </c>
      <c r="U500" s="6">
        <v>1011</v>
      </c>
      <c r="V500" s="6">
        <v>1466</v>
      </c>
      <c r="W500" s="6">
        <v>1413</v>
      </c>
      <c r="X500" s="6">
        <v>1795</v>
      </c>
      <c r="Y500" s="6">
        <v>1764</v>
      </c>
      <c r="Z500" s="6">
        <v>1577</v>
      </c>
      <c r="AA500" s="6">
        <v>1357</v>
      </c>
    </row>
    <row r="501" spans="2:27" s="5" customFormat="1" x14ac:dyDescent="0.2">
      <c r="B501" s="191"/>
      <c r="C501" s="15" t="s">
        <v>3</v>
      </c>
      <c r="D501" s="39">
        <v>11</v>
      </c>
      <c r="E501" s="39">
        <v>13.3</v>
      </c>
      <c r="F501" s="39">
        <v>18</v>
      </c>
      <c r="G501" s="7">
        <v>18.600000000000001</v>
      </c>
      <c r="H501" s="7">
        <v>19.3</v>
      </c>
      <c r="I501" s="7">
        <v>17</v>
      </c>
      <c r="J501" s="7">
        <v>14.1</v>
      </c>
      <c r="K501" s="7">
        <v>15.4</v>
      </c>
      <c r="L501" s="7">
        <v>24.3</v>
      </c>
      <c r="M501" s="7">
        <v>20.8</v>
      </c>
      <c r="N501" s="7">
        <v>14.4</v>
      </c>
      <c r="O501" s="7">
        <v>18</v>
      </c>
      <c r="P501" s="7">
        <v>20.2</v>
      </c>
      <c r="Q501" s="7">
        <v>21</v>
      </c>
      <c r="R501" s="7">
        <v>20.5</v>
      </c>
      <c r="S501" s="7">
        <v>15</v>
      </c>
      <c r="T501" s="7">
        <v>7.8</v>
      </c>
      <c r="U501" s="7">
        <v>12</v>
      </c>
      <c r="V501" s="7">
        <v>18</v>
      </c>
      <c r="W501" s="7">
        <v>18</v>
      </c>
      <c r="X501" s="7">
        <v>24.6</v>
      </c>
      <c r="Y501" s="7">
        <v>20.7</v>
      </c>
      <c r="Z501" s="7">
        <v>18.8</v>
      </c>
      <c r="AA501" s="7">
        <v>19.2</v>
      </c>
    </row>
    <row r="502" spans="2:27" s="5" customFormat="1" x14ac:dyDescent="0.2">
      <c r="B502" s="190" t="s">
        <v>198</v>
      </c>
      <c r="C502" s="15" t="s">
        <v>2</v>
      </c>
      <c r="D502" s="39">
        <v>2180026</v>
      </c>
      <c r="E502" s="39">
        <v>244917</v>
      </c>
      <c r="F502" s="39">
        <v>10725</v>
      </c>
      <c r="G502" s="6">
        <v>550</v>
      </c>
      <c r="H502" s="6">
        <v>501</v>
      </c>
      <c r="I502" s="6">
        <v>559</v>
      </c>
      <c r="J502" s="6">
        <v>297</v>
      </c>
      <c r="K502" s="6">
        <v>273</v>
      </c>
      <c r="L502" s="6">
        <v>778</v>
      </c>
      <c r="M502" s="6">
        <v>627</v>
      </c>
      <c r="N502" s="6">
        <v>258</v>
      </c>
      <c r="O502" s="6">
        <v>565</v>
      </c>
      <c r="P502" s="6">
        <v>649</v>
      </c>
      <c r="Q502" s="6">
        <v>674</v>
      </c>
      <c r="R502" s="6">
        <v>680</v>
      </c>
      <c r="S502" s="6">
        <v>441</v>
      </c>
      <c r="T502" s="6">
        <v>173</v>
      </c>
      <c r="U502" s="6">
        <v>224</v>
      </c>
      <c r="V502" s="6">
        <v>409</v>
      </c>
      <c r="W502" s="6">
        <v>429</v>
      </c>
      <c r="X502" s="6">
        <v>760</v>
      </c>
      <c r="Y502" s="6">
        <v>711</v>
      </c>
      <c r="Z502" s="6">
        <v>553</v>
      </c>
      <c r="AA502" s="6">
        <v>614</v>
      </c>
    </row>
    <row r="503" spans="2:27" s="5" customFormat="1" x14ac:dyDescent="0.2">
      <c r="B503" s="191"/>
      <c r="C503" s="15" t="s">
        <v>3</v>
      </c>
      <c r="D503" s="39">
        <v>5.6</v>
      </c>
      <c r="E503" s="39">
        <v>6.3</v>
      </c>
      <c r="F503" s="39">
        <v>6.3</v>
      </c>
      <c r="G503" s="7">
        <v>6.4</v>
      </c>
      <c r="H503" s="7">
        <v>6.3</v>
      </c>
      <c r="I503" s="7">
        <v>7.1</v>
      </c>
      <c r="J503" s="7">
        <v>3.7</v>
      </c>
      <c r="K503" s="7">
        <v>3.5</v>
      </c>
      <c r="L503" s="7">
        <v>10.199999999999999</v>
      </c>
      <c r="M503" s="7">
        <v>7.2</v>
      </c>
      <c r="N503" s="7">
        <v>3.6</v>
      </c>
      <c r="O503" s="7">
        <v>6.5</v>
      </c>
      <c r="P503" s="7">
        <v>8.1999999999999993</v>
      </c>
      <c r="Q503" s="7">
        <v>8.4</v>
      </c>
      <c r="R503" s="7">
        <v>7.1</v>
      </c>
      <c r="S503" s="7">
        <v>5.4</v>
      </c>
      <c r="T503" s="7">
        <v>2</v>
      </c>
      <c r="U503" s="7">
        <v>2.7</v>
      </c>
      <c r="V503" s="7">
        <v>5</v>
      </c>
      <c r="W503" s="7">
        <v>5.5</v>
      </c>
      <c r="X503" s="7">
        <v>10.4</v>
      </c>
      <c r="Y503" s="7">
        <v>8.3000000000000007</v>
      </c>
      <c r="Z503" s="7">
        <v>6.6</v>
      </c>
      <c r="AA503" s="7">
        <v>8.6999999999999993</v>
      </c>
    </row>
    <row r="504" spans="2:27" s="5" customFormat="1" x14ac:dyDescent="0.2">
      <c r="B504" s="190" t="s">
        <v>199</v>
      </c>
      <c r="C504" s="15" t="s">
        <v>2</v>
      </c>
      <c r="D504" s="39">
        <v>1511530</v>
      </c>
      <c r="E504" s="39">
        <v>169804</v>
      </c>
      <c r="F504" s="39">
        <v>7148</v>
      </c>
      <c r="G504" s="6">
        <v>349</v>
      </c>
      <c r="H504" s="6">
        <v>329</v>
      </c>
      <c r="I504" s="6">
        <v>383</v>
      </c>
      <c r="J504" s="6">
        <v>185</v>
      </c>
      <c r="K504" s="6">
        <v>161</v>
      </c>
      <c r="L504" s="6">
        <v>569</v>
      </c>
      <c r="M504" s="6">
        <v>448</v>
      </c>
      <c r="N504" s="6">
        <v>178</v>
      </c>
      <c r="O504" s="6">
        <v>363</v>
      </c>
      <c r="P504" s="6">
        <v>407</v>
      </c>
      <c r="Q504" s="6">
        <v>458</v>
      </c>
      <c r="R504" s="6">
        <v>483</v>
      </c>
      <c r="S504" s="6">
        <v>300</v>
      </c>
      <c r="T504" s="6">
        <v>104</v>
      </c>
      <c r="U504" s="6">
        <v>126</v>
      </c>
      <c r="V504" s="6">
        <v>254</v>
      </c>
      <c r="W504" s="6">
        <v>282</v>
      </c>
      <c r="X504" s="6">
        <v>499</v>
      </c>
      <c r="Y504" s="6">
        <v>471</v>
      </c>
      <c r="Z504" s="6">
        <v>359</v>
      </c>
      <c r="AA504" s="6">
        <v>440</v>
      </c>
    </row>
    <row r="505" spans="2:27" s="5" customFormat="1" x14ac:dyDescent="0.2">
      <c r="B505" s="191"/>
      <c r="C505" s="15" t="s">
        <v>3</v>
      </c>
      <c r="D505" s="39">
        <v>3.9</v>
      </c>
      <c r="E505" s="39">
        <v>4.4000000000000004</v>
      </c>
      <c r="F505" s="39">
        <v>4.2</v>
      </c>
      <c r="G505" s="7">
        <v>4.0999999999999996</v>
      </c>
      <c r="H505" s="7">
        <v>4.0999999999999996</v>
      </c>
      <c r="I505" s="7">
        <v>4.9000000000000004</v>
      </c>
      <c r="J505" s="7">
        <v>2.2999999999999998</v>
      </c>
      <c r="K505" s="7">
        <v>2</v>
      </c>
      <c r="L505" s="7">
        <v>7.5</v>
      </c>
      <c r="M505" s="7">
        <v>5.0999999999999996</v>
      </c>
      <c r="N505" s="7">
        <v>2.5</v>
      </c>
      <c r="O505" s="7">
        <v>4.2</v>
      </c>
      <c r="P505" s="7">
        <v>5.0999999999999996</v>
      </c>
      <c r="Q505" s="7">
        <v>5.7</v>
      </c>
      <c r="R505" s="7">
        <v>5</v>
      </c>
      <c r="S505" s="7">
        <v>3.7</v>
      </c>
      <c r="T505" s="7">
        <v>1.2</v>
      </c>
      <c r="U505" s="7">
        <v>1.5</v>
      </c>
      <c r="V505" s="7">
        <v>3.1</v>
      </c>
      <c r="W505" s="7">
        <v>3.6</v>
      </c>
      <c r="X505" s="7">
        <v>6.8</v>
      </c>
      <c r="Y505" s="7">
        <v>5.5</v>
      </c>
      <c r="Z505" s="7">
        <v>4.3</v>
      </c>
      <c r="AA505" s="7">
        <v>6.2</v>
      </c>
    </row>
    <row r="506" spans="2:27" s="5" customFormat="1" x14ac:dyDescent="0.2">
      <c r="B506" s="190" t="s">
        <v>200</v>
      </c>
      <c r="C506" s="15" t="s">
        <v>2</v>
      </c>
      <c r="D506" s="39">
        <v>668496</v>
      </c>
      <c r="E506" s="39">
        <v>75113</v>
      </c>
      <c r="F506" s="39">
        <v>3577</v>
      </c>
      <c r="G506" s="6">
        <v>201</v>
      </c>
      <c r="H506" s="6">
        <v>172</v>
      </c>
      <c r="I506" s="6">
        <v>176</v>
      </c>
      <c r="J506" s="6">
        <v>112</v>
      </c>
      <c r="K506" s="6">
        <v>112</v>
      </c>
      <c r="L506" s="6">
        <v>209</v>
      </c>
      <c r="M506" s="6">
        <v>179</v>
      </c>
      <c r="N506" s="6">
        <v>80</v>
      </c>
      <c r="O506" s="6">
        <v>202</v>
      </c>
      <c r="P506" s="6">
        <v>242</v>
      </c>
      <c r="Q506" s="6">
        <v>216</v>
      </c>
      <c r="R506" s="6">
        <v>197</v>
      </c>
      <c r="S506" s="6">
        <v>141</v>
      </c>
      <c r="T506" s="6">
        <v>69</v>
      </c>
      <c r="U506" s="6">
        <v>98</v>
      </c>
      <c r="V506" s="6">
        <v>155</v>
      </c>
      <c r="W506" s="6">
        <v>147</v>
      </c>
      <c r="X506" s="6">
        <v>261</v>
      </c>
      <c r="Y506" s="6">
        <v>240</v>
      </c>
      <c r="Z506" s="6">
        <v>194</v>
      </c>
      <c r="AA506" s="6">
        <v>174</v>
      </c>
    </row>
    <row r="507" spans="2:27" s="5" customFormat="1" x14ac:dyDescent="0.2">
      <c r="B507" s="191"/>
      <c r="C507" s="15" t="s">
        <v>3</v>
      </c>
      <c r="D507" s="39">
        <v>1.7</v>
      </c>
      <c r="E507" s="39">
        <v>1.9</v>
      </c>
      <c r="F507" s="39">
        <v>2.1</v>
      </c>
      <c r="G507" s="7">
        <v>2.2999999999999998</v>
      </c>
      <c r="H507" s="7">
        <v>2.1</v>
      </c>
      <c r="I507" s="7">
        <v>2.2000000000000002</v>
      </c>
      <c r="J507" s="7">
        <v>1.4</v>
      </c>
      <c r="K507" s="7">
        <v>1.4</v>
      </c>
      <c r="L507" s="7">
        <v>2.7</v>
      </c>
      <c r="M507" s="7">
        <v>2.1</v>
      </c>
      <c r="N507" s="7">
        <v>1.1000000000000001</v>
      </c>
      <c r="O507" s="7">
        <v>2.2999999999999998</v>
      </c>
      <c r="P507" s="7">
        <v>3</v>
      </c>
      <c r="Q507" s="7">
        <v>2.7</v>
      </c>
      <c r="R507" s="7">
        <v>2.1</v>
      </c>
      <c r="S507" s="7">
        <v>1.7</v>
      </c>
      <c r="T507" s="7">
        <v>0.8</v>
      </c>
      <c r="U507" s="7">
        <v>1.2</v>
      </c>
      <c r="V507" s="7">
        <v>1.9</v>
      </c>
      <c r="W507" s="7">
        <v>1.9</v>
      </c>
      <c r="X507" s="7">
        <v>3.6</v>
      </c>
      <c r="Y507" s="7">
        <v>2.8</v>
      </c>
      <c r="Z507" s="7">
        <v>2.2999999999999998</v>
      </c>
      <c r="AA507" s="7">
        <v>2.5</v>
      </c>
    </row>
    <row r="508" spans="2:27" s="5" customFormat="1" x14ac:dyDescent="0.2">
      <c r="B508" s="190" t="s">
        <v>201</v>
      </c>
      <c r="C508" s="15" t="s">
        <v>2</v>
      </c>
      <c r="D508" s="39">
        <v>3504299</v>
      </c>
      <c r="E508" s="39">
        <v>358067</v>
      </c>
      <c r="F508" s="39">
        <v>9811</v>
      </c>
      <c r="G508" s="6">
        <v>558</v>
      </c>
      <c r="H508" s="6">
        <v>443</v>
      </c>
      <c r="I508" s="6">
        <v>426</v>
      </c>
      <c r="J508" s="6">
        <v>471</v>
      </c>
      <c r="K508" s="6">
        <v>485</v>
      </c>
      <c r="L508" s="6">
        <v>410</v>
      </c>
      <c r="M508" s="6">
        <v>511</v>
      </c>
      <c r="N508" s="6">
        <v>426</v>
      </c>
      <c r="O508" s="6">
        <v>495</v>
      </c>
      <c r="P508" s="6">
        <v>436</v>
      </c>
      <c r="Q508" s="6">
        <v>419</v>
      </c>
      <c r="R508" s="6">
        <v>521</v>
      </c>
      <c r="S508" s="6">
        <v>519</v>
      </c>
      <c r="T508" s="6">
        <v>480</v>
      </c>
      <c r="U508" s="6">
        <v>473</v>
      </c>
      <c r="V508" s="6">
        <v>458</v>
      </c>
      <c r="W508" s="6">
        <v>463</v>
      </c>
      <c r="X508" s="6">
        <v>458</v>
      </c>
      <c r="Y508" s="6">
        <v>495</v>
      </c>
      <c r="Z508" s="6">
        <v>460</v>
      </c>
      <c r="AA508" s="6">
        <v>404</v>
      </c>
    </row>
    <row r="509" spans="2:27" s="5" customFormat="1" x14ac:dyDescent="0.2">
      <c r="B509" s="191"/>
      <c r="C509" s="15" t="s">
        <v>3</v>
      </c>
      <c r="D509" s="39">
        <v>9</v>
      </c>
      <c r="E509" s="39">
        <v>9.1999999999999993</v>
      </c>
      <c r="F509" s="39">
        <v>5.8</v>
      </c>
      <c r="G509" s="7">
        <v>6.5</v>
      </c>
      <c r="H509" s="7">
        <v>5.5</v>
      </c>
      <c r="I509" s="7">
        <v>5.4</v>
      </c>
      <c r="J509" s="7">
        <v>5.9</v>
      </c>
      <c r="K509" s="7">
        <v>6.2</v>
      </c>
      <c r="L509" s="7">
        <v>5.4</v>
      </c>
      <c r="M509" s="7">
        <v>5.9</v>
      </c>
      <c r="N509" s="7">
        <v>5.9</v>
      </c>
      <c r="O509" s="7">
        <v>5.7</v>
      </c>
      <c r="P509" s="7">
        <v>5.5</v>
      </c>
      <c r="Q509" s="7">
        <v>5.2</v>
      </c>
      <c r="R509" s="7">
        <v>5.4</v>
      </c>
      <c r="S509" s="7">
        <v>6.4</v>
      </c>
      <c r="T509" s="7">
        <v>5.6</v>
      </c>
      <c r="U509" s="7">
        <v>5.6</v>
      </c>
      <c r="V509" s="7">
        <v>5.6</v>
      </c>
      <c r="W509" s="7">
        <v>5.9</v>
      </c>
      <c r="X509" s="7">
        <v>6.3</v>
      </c>
      <c r="Y509" s="7">
        <v>5.8</v>
      </c>
      <c r="Z509" s="7">
        <v>5.5</v>
      </c>
      <c r="AA509" s="7">
        <v>5.7</v>
      </c>
    </row>
    <row r="510" spans="2:27" s="5" customFormat="1" x14ac:dyDescent="0.2">
      <c r="B510" s="190" t="s">
        <v>202</v>
      </c>
      <c r="C510" s="15" t="s">
        <v>2</v>
      </c>
      <c r="D510" s="39">
        <v>3504299</v>
      </c>
      <c r="E510" s="39">
        <v>358067</v>
      </c>
      <c r="F510" s="39">
        <v>9811</v>
      </c>
      <c r="G510" s="6">
        <v>558</v>
      </c>
      <c r="H510" s="6">
        <v>443</v>
      </c>
      <c r="I510" s="6">
        <v>426</v>
      </c>
      <c r="J510" s="6">
        <v>471</v>
      </c>
      <c r="K510" s="6">
        <v>485</v>
      </c>
      <c r="L510" s="6">
        <v>410</v>
      </c>
      <c r="M510" s="6">
        <v>511</v>
      </c>
      <c r="N510" s="6">
        <v>426</v>
      </c>
      <c r="O510" s="6">
        <v>495</v>
      </c>
      <c r="P510" s="6">
        <v>436</v>
      </c>
      <c r="Q510" s="6">
        <v>419</v>
      </c>
      <c r="R510" s="6">
        <v>521</v>
      </c>
      <c r="S510" s="6">
        <v>519</v>
      </c>
      <c r="T510" s="6">
        <v>480</v>
      </c>
      <c r="U510" s="6">
        <v>473</v>
      </c>
      <c r="V510" s="6">
        <v>458</v>
      </c>
      <c r="W510" s="6">
        <v>463</v>
      </c>
      <c r="X510" s="6">
        <v>458</v>
      </c>
      <c r="Y510" s="6">
        <v>495</v>
      </c>
      <c r="Z510" s="6">
        <v>460</v>
      </c>
      <c r="AA510" s="6">
        <v>404</v>
      </c>
    </row>
    <row r="511" spans="2:27" s="5" customFormat="1" x14ac:dyDescent="0.2">
      <c r="B511" s="191"/>
      <c r="C511" s="15" t="s">
        <v>3</v>
      </c>
      <c r="D511" s="39">
        <v>9</v>
      </c>
      <c r="E511" s="39">
        <v>9.1999999999999993</v>
      </c>
      <c r="F511" s="39">
        <v>5.8</v>
      </c>
      <c r="G511" s="7">
        <v>6.5</v>
      </c>
      <c r="H511" s="7">
        <v>5.5</v>
      </c>
      <c r="I511" s="7">
        <v>5.4</v>
      </c>
      <c r="J511" s="7">
        <v>5.9</v>
      </c>
      <c r="K511" s="7">
        <v>6.2</v>
      </c>
      <c r="L511" s="7">
        <v>5.4</v>
      </c>
      <c r="M511" s="7">
        <v>5.9</v>
      </c>
      <c r="N511" s="7">
        <v>5.9</v>
      </c>
      <c r="O511" s="7">
        <v>5.7</v>
      </c>
      <c r="P511" s="7">
        <v>5.5</v>
      </c>
      <c r="Q511" s="7">
        <v>5.2</v>
      </c>
      <c r="R511" s="7">
        <v>5.4</v>
      </c>
      <c r="S511" s="7">
        <v>6.4</v>
      </c>
      <c r="T511" s="7">
        <v>5.6</v>
      </c>
      <c r="U511" s="7">
        <v>5.6</v>
      </c>
      <c r="V511" s="7">
        <v>5.6</v>
      </c>
      <c r="W511" s="7">
        <v>5.9</v>
      </c>
      <c r="X511" s="7">
        <v>6.3</v>
      </c>
      <c r="Y511" s="7">
        <v>5.8</v>
      </c>
      <c r="Z511" s="7">
        <v>5.5</v>
      </c>
      <c r="AA511" s="7">
        <v>5.7</v>
      </c>
    </row>
    <row r="512" spans="2:27" s="5" customFormat="1" x14ac:dyDescent="0.2">
      <c r="B512" s="190" t="s">
        <v>203</v>
      </c>
      <c r="C512" s="15" t="s">
        <v>2</v>
      </c>
      <c r="D512" s="39">
        <v>0</v>
      </c>
      <c r="E512" s="39">
        <v>0</v>
      </c>
      <c r="F512" s="39">
        <v>0</v>
      </c>
      <c r="G512" s="6">
        <v>0</v>
      </c>
      <c r="H512" s="6">
        <v>0</v>
      </c>
      <c r="I512" s="6">
        <v>0</v>
      </c>
      <c r="J512" s="6">
        <v>0</v>
      </c>
      <c r="K512" s="6">
        <v>0</v>
      </c>
      <c r="L512" s="6">
        <v>0</v>
      </c>
      <c r="M512" s="6">
        <v>0</v>
      </c>
      <c r="N512" s="6">
        <v>0</v>
      </c>
      <c r="O512" s="6">
        <v>0</v>
      </c>
      <c r="P512" s="6">
        <v>0</v>
      </c>
      <c r="Q512" s="6">
        <v>0</v>
      </c>
      <c r="R512" s="6">
        <v>0</v>
      </c>
      <c r="S512" s="6">
        <v>0</v>
      </c>
      <c r="T512" s="6">
        <v>0</v>
      </c>
      <c r="U512" s="6">
        <v>0</v>
      </c>
      <c r="V512" s="6">
        <v>0</v>
      </c>
      <c r="W512" s="6">
        <v>0</v>
      </c>
      <c r="X512" s="6">
        <v>0</v>
      </c>
      <c r="Y512" s="6">
        <v>0</v>
      </c>
      <c r="Z512" s="6">
        <v>0</v>
      </c>
      <c r="AA512" s="6">
        <v>0</v>
      </c>
    </row>
    <row r="513" spans="1:27" s="5" customFormat="1" x14ac:dyDescent="0.2">
      <c r="B513" s="191"/>
      <c r="C513" s="15" t="s">
        <v>3</v>
      </c>
      <c r="D513" s="39">
        <v>0</v>
      </c>
      <c r="E513" s="39">
        <v>0</v>
      </c>
      <c r="F513" s="39">
        <v>0</v>
      </c>
      <c r="G513" s="7">
        <v>0</v>
      </c>
      <c r="H513" s="7">
        <v>0</v>
      </c>
      <c r="I513" s="7">
        <v>0</v>
      </c>
      <c r="J513" s="7">
        <v>0</v>
      </c>
      <c r="K513" s="7">
        <v>0</v>
      </c>
      <c r="L513" s="7">
        <v>0</v>
      </c>
      <c r="M513" s="7">
        <v>0</v>
      </c>
      <c r="N513" s="7">
        <v>0</v>
      </c>
      <c r="O513" s="7">
        <v>0</v>
      </c>
      <c r="P513" s="7">
        <v>0</v>
      </c>
      <c r="Q513" s="7">
        <v>0</v>
      </c>
      <c r="R513" s="7">
        <v>0</v>
      </c>
      <c r="S513" s="7">
        <v>0</v>
      </c>
      <c r="T513" s="7">
        <v>0</v>
      </c>
      <c r="U513" s="7">
        <v>0</v>
      </c>
      <c r="V513" s="7">
        <v>0</v>
      </c>
      <c r="W513" s="7">
        <v>0</v>
      </c>
      <c r="X513" s="7">
        <v>0</v>
      </c>
      <c r="Y513" s="7">
        <v>0</v>
      </c>
      <c r="Z513" s="7">
        <v>0</v>
      </c>
      <c r="AA513" s="7">
        <v>0</v>
      </c>
    </row>
    <row r="514" spans="1:27" s="5" customFormat="1" x14ac:dyDescent="0.2">
      <c r="A514" s="5" t="s">
        <v>240</v>
      </c>
      <c r="B514" s="190" t="s">
        <v>204</v>
      </c>
      <c r="C514" s="15" t="s">
        <v>2</v>
      </c>
      <c r="D514" s="39">
        <v>25162721</v>
      </c>
      <c r="E514" s="39">
        <v>2428074</v>
      </c>
      <c r="F514" s="39">
        <v>103579</v>
      </c>
      <c r="G514" s="6">
        <v>5356</v>
      </c>
      <c r="H514" s="6">
        <v>4941</v>
      </c>
      <c r="I514" s="6">
        <v>4713</v>
      </c>
      <c r="J514" s="6">
        <v>5196</v>
      </c>
      <c r="K514" s="6">
        <v>5062</v>
      </c>
      <c r="L514" s="6">
        <v>3861</v>
      </c>
      <c r="M514" s="6">
        <v>5210</v>
      </c>
      <c r="N514" s="6">
        <v>4487</v>
      </c>
      <c r="O514" s="6">
        <v>5516</v>
      </c>
      <c r="P514" s="6">
        <v>4968</v>
      </c>
      <c r="Q514" s="6">
        <v>4355</v>
      </c>
      <c r="R514" s="6">
        <v>5609</v>
      </c>
      <c r="S514" s="6">
        <v>5373</v>
      </c>
      <c r="T514" s="6">
        <v>5701</v>
      </c>
      <c r="U514" s="6">
        <v>5860</v>
      </c>
      <c r="V514" s="6">
        <v>5025</v>
      </c>
      <c r="W514" s="6">
        <v>4785</v>
      </c>
      <c r="X514" s="6">
        <v>3839</v>
      </c>
      <c r="Y514" s="6">
        <v>4749</v>
      </c>
      <c r="Z514" s="6">
        <v>5090</v>
      </c>
      <c r="AA514" s="6">
        <v>3883</v>
      </c>
    </row>
    <row r="515" spans="1:27" s="5" customFormat="1" x14ac:dyDescent="0.2">
      <c r="B515" s="191"/>
      <c r="C515" s="15" t="s">
        <v>3</v>
      </c>
      <c r="D515" s="39">
        <v>100</v>
      </c>
      <c r="E515" s="39">
        <v>100</v>
      </c>
      <c r="F515" s="39">
        <v>100</v>
      </c>
      <c r="G515" s="7">
        <v>100</v>
      </c>
      <c r="H515" s="7">
        <v>100</v>
      </c>
      <c r="I515" s="7">
        <v>100</v>
      </c>
      <c r="J515" s="7">
        <v>100</v>
      </c>
      <c r="K515" s="7">
        <v>100</v>
      </c>
      <c r="L515" s="7">
        <v>100</v>
      </c>
      <c r="M515" s="7">
        <v>100</v>
      </c>
      <c r="N515" s="7">
        <v>100</v>
      </c>
      <c r="O515" s="7">
        <v>100</v>
      </c>
      <c r="P515" s="7">
        <v>100</v>
      </c>
      <c r="Q515" s="7">
        <v>100</v>
      </c>
      <c r="R515" s="7">
        <v>100</v>
      </c>
      <c r="S515" s="7">
        <v>100</v>
      </c>
      <c r="T515" s="7">
        <v>100</v>
      </c>
      <c r="U515" s="7">
        <v>100</v>
      </c>
      <c r="V515" s="7">
        <v>100</v>
      </c>
      <c r="W515" s="7">
        <v>100</v>
      </c>
      <c r="X515" s="7">
        <v>100</v>
      </c>
      <c r="Y515" s="7">
        <v>100</v>
      </c>
      <c r="Z515" s="7">
        <v>100</v>
      </c>
      <c r="AA515" s="7">
        <v>100</v>
      </c>
    </row>
    <row r="516" spans="1:27" s="5" customFormat="1" x14ac:dyDescent="0.2">
      <c r="B516" s="190" t="s">
        <v>205</v>
      </c>
      <c r="C516" s="15" t="s">
        <v>2</v>
      </c>
      <c r="D516" s="39">
        <v>2734900</v>
      </c>
      <c r="E516" s="39">
        <v>240292</v>
      </c>
      <c r="F516" s="39">
        <v>9372</v>
      </c>
      <c r="G516" s="6">
        <v>450</v>
      </c>
      <c r="H516" s="6">
        <v>369</v>
      </c>
      <c r="I516" s="6">
        <v>418</v>
      </c>
      <c r="J516" s="6">
        <v>516</v>
      </c>
      <c r="K516" s="6">
        <v>526</v>
      </c>
      <c r="L516" s="6">
        <v>240</v>
      </c>
      <c r="M516" s="6">
        <v>362</v>
      </c>
      <c r="N516" s="6">
        <v>471</v>
      </c>
      <c r="O516" s="6">
        <v>487</v>
      </c>
      <c r="P516" s="6">
        <v>393</v>
      </c>
      <c r="Q516" s="6">
        <v>333</v>
      </c>
      <c r="R516" s="6">
        <v>406</v>
      </c>
      <c r="S516" s="6">
        <v>510</v>
      </c>
      <c r="T516" s="6">
        <v>1034</v>
      </c>
      <c r="U516" s="6">
        <v>722</v>
      </c>
      <c r="V516" s="6">
        <v>450</v>
      </c>
      <c r="W516" s="6">
        <v>416</v>
      </c>
      <c r="X516" s="6">
        <v>211</v>
      </c>
      <c r="Y516" s="6">
        <v>363</v>
      </c>
      <c r="Z516" s="6">
        <v>377</v>
      </c>
      <c r="AA516" s="6">
        <v>318</v>
      </c>
    </row>
    <row r="517" spans="1:27" s="5" customFormat="1" x14ac:dyDescent="0.2">
      <c r="B517" s="191"/>
      <c r="C517" s="15" t="s">
        <v>3</v>
      </c>
      <c r="D517" s="39">
        <v>10.9</v>
      </c>
      <c r="E517" s="39">
        <v>9.9</v>
      </c>
      <c r="F517" s="39">
        <v>9</v>
      </c>
      <c r="G517" s="7">
        <v>8.4</v>
      </c>
      <c r="H517" s="7">
        <v>7.5</v>
      </c>
      <c r="I517" s="7">
        <v>8.9</v>
      </c>
      <c r="J517" s="7">
        <v>9.9</v>
      </c>
      <c r="K517" s="7">
        <v>10.4</v>
      </c>
      <c r="L517" s="7">
        <v>6.2</v>
      </c>
      <c r="M517" s="7">
        <v>6.9</v>
      </c>
      <c r="N517" s="7">
        <v>10.5</v>
      </c>
      <c r="O517" s="7">
        <v>8.8000000000000007</v>
      </c>
      <c r="P517" s="7">
        <v>7.9</v>
      </c>
      <c r="Q517" s="7">
        <v>7.6</v>
      </c>
      <c r="R517" s="7">
        <v>7.2</v>
      </c>
      <c r="S517" s="7">
        <v>9.5</v>
      </c>
      <c r="T517" s="7">
        <v>18.100000000000001</v>
      </c>
      <c r="U517" s="7">
        <v>12.3</v>
      </c>
      <c r="V517" s="7">
        <v>9</v>
      </c>
      <c r="W517" s="7">
        <v>8.6999999999999993</v>
      </c>
      <c r="X517" s="7">
        <v>5.5</v>
      </c>
      <c r="Y517" s="7">
        <v>7.6</v>
      </c>
      <c r="Z517" s="7">
        <v>7.4</v>
      </c>
      <c r="AA517" s="7">
        <v>8.1999999999999993</v>
      </c>
    </row>
    <row r="518" spans="1:27" s="5" customFormat="1" x14ac:dyDescent="0.2">
      <c r="B518" s="190" t="s">
        <v>206</v>
      </c>
      <c r="C518" s="15" t="s">
        <v>2</v>
      </c>
      <c r="D518" s="39">
        <v>4400375</v>
      </c>
      <c r="E518" s="39">
        <v>374316</v>
      </c>
      <c r="F518" s="39">
        <v>12836</v>
      </c>
      <c r="G518" s="6">
        <v>610</v>
      </c>
      <c r="H518" s="6">
        <v>456</v>
      </c>
      <c r="I518" s="6">
        <v>547</v>
      </c>
      <c r="J518" s="6">
        <v>791</v>
      </c>
      <c r="K518" s="6">
        <v>802</v>
      </c>
      <c r="L518" s="6">
        <v>305</v>
      </c>
      <c r="M518" s="6">
        <v>486</v>
      </c>
      <c r="N518" s="6">
        <v>739</v>
      </c>
      <c r="O518" s="6">
        <v>642</v>
      </c>
      <c r="P518" s="6">
        <v>550</v>
      </c>
      <c r="Q518" s="6">
        <v>367</v>
      </c>
      <c r="R518" s="6">
        <v>627</v>
      </c>
      <c r="S518" s="6">
        <v>840</v>
      </c>
      <c r="T518" s="6">
        <v>1223</v>
      </c>
      <c r="U518" s="6">
        <v>1145</v>
      </c>
      <c r="V518" s="6">
        <v>552</v>
      </c>
      <c r="W518" s="6">
        <v>573</v>
      </c>
      <c r="X518" s="6">
        <v>238</v>
      </c>
      <c r="Y518" s="6">
        <v>446</v>
      </c>
      <c r="Z518" s="6">
        <v>489</v>
      </c>
      <c r="AA518" s="6">
        <v>408</v>
      </c>
    </row>
    <row r="519" spans="1:27" s="5" customFormat="1" x14ac:dyDescent="0.2">
      <c r="B519" s="191"/>
      <c r="C519" s="15" t="s">
        <v>3</v>
      </c>
      <c r="D519" s="39">
        <v>17.5</v>
      </c>
      <c r="E519" s="39">
        <v>15.4</v>
      </c>
      <c r="F519" s="39">
        <v>12.4</v>
      </c>
      <c r="G519" s="7">
        <v>11.4</v>
      </c>
      <c r="H519" s="7">
        <v>9.1999999999999993</v>
      </c>
      <c r="I519" s="7">
        <v>11.6</v>
      </c>
      <c r="J519" s="7">
        <v>15.2</v>
      </c>
      <c r="K519" s="7">
        <v>15.8</v>
      </c>
      <c r="L519" s="7">
        <v>7.9</v>
      </c>
      <c r="M519" s="7">
        <v>9.3000000000000007</v>
      </c>
      <c r="N519" s="7">
        <v>16.5</v>
      </c>
      <c r="O519" s="7">
        <v>11.6</v>
      </c>
      <c r="P519" s="7">
        <v>11.1</v>
      </c>
      <c r="Q519" s="7">
        <v>8.4</v>
      </c>
      <c r="R519" s="7">
        <v>11.2</v>
      </c>
      <c r="S519" s="7">
        <v>15.6</v>
      </c>
      <c r="T519" s="7">
        <v>21.5</v>
      </c>
      <c r="U519" s="7">
        <v>19.5</v>
      </c>
      <c r="V519" s="7">
        <v>11</v>
      </c>
      <c r="W519" s="7">
        <v>12</v>
      </c>
      <c r="X519" s="7">
        <v>6.2</v>
      </c>
      <c r="Y519" s="7">
        <v>9.4</v>
      </c>
      <c r="Z519" s="7">
        <v>9.6</v>
      </c>
      <c r="AA519" s="7">
        <v>10.5</v>
      </c>
    </row>
    <row r="520" spans="1:27" s="5" customFormat="1" x14ac:dyDescent="0.2">
      <c r="B520" s="190" t="s">
        <v>207</v>
      </c>
      <c r="C520" s="15" t="s">
        <v>2</v>
      </c>
      <c r="D520" s="39">
        <v>3219067</v>
      </c>
      <c r="E520" s="39">
        <v>277852</v>
      </c>
      <c r="F520" s="39">
        <v>10260</v>
      </c>
      <c r="G520" s="6">
        <v>496</v>
      </c>
      <c r="H520" s="6">
        <v>453</v>
      </c>
      <c r="I520" s="6">
        <v>436</v>
      </c>
      <c r="J520" s="6">
        <v>632</v>
      </c>
      <c r="K520" s="6">
        <v>621</v>
      </c>
      <c r="L520" s="6">
        <v>235</v>
      </c>
      <c r="M520" s="6">
        <v>367</v>
      </c>
      <c r="N520" s="6">
        <v>543</v>
      </c>
      <c r="O520" s="6">
        <v>543</v>
      </c>
      <c r="P520" s="6">
        <v>431</v>
      </c>
      <c r="Q520" s="6">
        <v>353</v>
      </c>
      <c r="R520" s="6">
        <v>514</v>
      </c>
      <c r="S520" s="6">
        <v>626</v>
      </c>
      <c r="T520" s="6">
        <v>777</v>
      </c>
      <c r="U520" s="6">
        <v>758</v>
      </c>
      <c r="V520" s="6">
        <v>498</v>
      </c>
      <c r="W520" s="6">
        <v>452</v>
      </c>
      <c r="X520" s="6">
        <v>254</v>
      </c>
      <c r="Y520" s="6">
        <v>435</v>
      </c>
      <c r="Z520" s="6">
        <v>470</v>
      </c>
      <c r="AA520" s="6">
        <v>366</v>
      </c>
    </row>
    <row r="521" spans="1:27" s="5" customFormat="1" x14ac:dyDescent="0.2">
      <c r="B521" s="191"/>
      <c r="C521" s="15" t="s">
        <v>3</v>
      </c>
      <c r="D521" s="39">
        <v>12.8</v>
      </c>
      <c r="E521" s="39">
        <v>11.4</v>
      </c>
      <c r="F521" s="39">
        <v>9.9</v>
      </c>
      <c r="G521" s="7">
        <v>9.3000000000000007</v>
      </c>
      <c r="H521" s="7">
        <v>9.1999999999999993</v>
      </c>
      <c r="I521" s="7">
        <v>9.3000000000000007</v>
      </c>
      <c r="J521" s="7">
        <v>12.2</v>
      </c>
      <c r="K521" s="7">
        <v>12.3</v>
      </c>
      <c r="L521" s="7">
        <v>6.1</v>
      </c>
      <c r="M521" s="7">
        <v>7</v>
      </c>
      <c r="N521" s="7">
        <v>12.1</v>
      </c>
      <c r="O521" s="7">
        <v>9.8000000000000007</v>
      </c>
      <c r="P521" s="7">
        <v>8.6999999999999993</v>
      </c>
      <c r="Q521" s="7">
        <v>8.1</v>
      </c>
      <c r="R521" s="7">
        <v>9.1999999999999993</v>
      </c>
      <c r="S521" s="7">
        <v>11.7</v>
      </c>
      <c r="T521" s="7">
        <v>13.6</v>
      </c>
      <c r="U521" s="7">
        <v>12.9</v>
      </c>
      <c r="V521" s="7">
        <v>9.9</v>
      </c>
      <c r="W521" s="7">
        <v>9.4</v>
      </c>
      <c r="X521" s="7">
        <v>6.6</v>
      </c>
      <c r="Y521" s="7">
        <v>9.1999999999999993</v>
      </c>
      <c r="Z521" s="7">
        <v>9.1999999999999993</v>
      </c>
      <c r="AA521" s="7">
        <v>9.4</v>
      </c>
    </row>
    <row r="522" spans="1:27" s="5" customFormat="1" x14ac:dyDescent="0.2">
      <c r="B522" s="190" t="s">
        <v>208</v>
      </c>
      <c r="C522" s="15" t="s">
        <v>2</v>
      </c>
      <c r="D522" s="39">
        <v>2883230</v>
      </c>
      <c r="E522" s="39">
        <v>265208</v>
      </c>
      <c r="F522" s="39">
        <v>10450</v>
      </c>
      <c r="G522" s="6">
        <v>552</v>
      </c>
      <c r="H522" s="6">
        <v>483</v>
      </c>
      <c r="I522" s="6">
        <v>494</v>
      </c>
      <c r="J522" s="6">
        <v>606</v>
      </c>
      <c r="K522" s="6">
        <v>587</v>
      </c>
      <c r="L522" s="6">
        <v>306</v>
      </c>
      <c r="M522" s="6">
        <v>466</v>
      </c>
      <c r="N522" s="6">
        <v>522</v>
      </c>
      <c r="O522" s="6">
        <v>595</v>
      </c>
      <c r="P522" s="6">
        <v>485</v>
      </c>
      <c r="Q522" s="6">
        <v>366</v>
      </c>
      <c r="R522" s="6">
        <v>507</v>
      </c>
      <c r="S522" s="6">
        <v>580</v>
      </c>
      <c r="T522" s="6">
        <v>617</v>
      </c>
      <c r="U522" s="6">
        <v>622</v>
      </c>
      <c r="V522" s="6">
        <v>584</v>
      </c>
      <c r="W522" s="6">
        <v>503</v>
      </c>
      <c r="X522" s="6">
        <v>276</v>
      </c>
      <c r="Y522" s="6">
        <v>454</v>
      </c>
      <c r="Z522" s="6">
        <v>483</v>
      </c>
      <c r="AA522" s="6">
        <v>362</v>
      </c>
    </row>
    <row r="523" spans="1:27" s="5" customFormat="1" x14ac:dyDescent="0.2">
      <c r="B523" s="191"/>
      <c r="C523" s="15" t="s">
        <v>3</v>
      </c>
      <c r="D523" s="39">
        <v>11.5</v>
      </c>
      <c r="E523" s="39">
        <v>10.9</v>
      </c>
      <c r="F523" s="39">
        <v>10.1</v>
      </c>
      <c r="G523" s="7">
        <v>10.3</v>
      </c>
      <c r="H523" s="7">
        <v>9.8000000000000007</v>
      </c>
      <c r="I523" s="7">
        <v>10.5</v>
      </c>
      <c r="J523" s="7">
        <v>11.7</v>
      </c>
      <c r="K523" s="7">
        <v>11.6</v>
      </c>
      <c r="L523" s="7">
        <v>7.9</v>
      </c>
      <c r="M523" s="7">
        <v>8.9</v>
      </c>
      <c r="N523" s="7">
        <v>11.6</v>
      </c>
      <c r="O523" s="7">
        <v>10.8</v>
      </c>
      <c r="P523" s="7">
        <v>9.8000000000000007</v>
      </c>
      <c r="Q523" s="7">
        <v>8.4</v>
      </c>
      <c r="R523" s="7">
        <v>9</v>
      </c>
      <c r="S523" s="7">
        <v>10.8</v>
      </c>
      <c r="T523" s="7">
        <v>10.8</v>
      </c>
      <c r="U523" s="7">
        <v>10.6</v>
      </c>
      <c r="V523" s="7">
        <v>11.6</v>
      </c>
      <c r="W523" s="7">
        <v>10.5</v>
      </c>
      <c r="X523" s="7">
        <v>7.2</v>
      </c>
      <c r="Y523" s="7">
        <v>9.6</v>
      </c>
      <c r="Z523" s="7">
        <v>9.5</v>
      </c>
      <c r="AA523" s="7">
        <v>9.3000000000000007</v>
      </c>
    </row>
    <row r="524" spans="1:27" s="5" customFormat="1" x14ac:dyDescent="0.2">
      <c r="B524" s="190" t="s">
        <v>209</v>
      </c>
      <c r="C524" s="15" t="s">
        <v>2</v>
      </c>
      <c r="D524" s="39">
        <v>2858680</v>
      </c>
      <c r="E524" s="39">
        <v>298008</v>
      </c>
      <c r="F524" s="39">
        <v>14242</v>
      </c>
      <c r="G524" s="6">
        <v>674</v>
      </c>
      <c r="H524" s="6">
        <v>719</v>
      </c>
      <c r="I524" s="6">
        <v>668</v>
      </c>
      <c r="J524" s="6">
        <v>674</v>
      </c>
      <c r="K524" s="6">
        <v>658</v>
      </c>
      <c r="L524" s="6">
        <v>593</v>
      </c>
      <c r="M524" s="6">
        <v>792</v>
      </c>
      <c r="N524" s="6">
        <v>557</v>
      </c>
      <c r="O524" s="6">
        <v>808</v>
      </c>
      <c r="P524" s="6">
        <v>647</v>
      </c>
      <c r="Q524" s="6">
        <v>650</v>
      </c>
      <c r="R524" s="6">
        <v>772</v>
      </c>
      <c r="S524" s="6">
        <v>672</v>
      </c>
      <c r="T524" s="6">
        <v>644</v>
      </c>
      <c r="U524" s="6">
        <v>746</v>
      </c>
      <c r="V524" s="6">
        <v>800</v>
      </c>
      <c r="W524" s="6">
        <v>680</v>
      </c>
      <c r="X524" s="6">
        <v>591</v>
      </c>
      <c r="Y524" s="6">
        <v>641</v>
      </c>
      <c r="Z524" s="6">
        <v>688</v>
      </c>
      <c r="AA524" s="6">
        <v>568</v>
      </c>
    </row>
    <row r="525" spans="1:27" s="5" customFormat="1" x14ac:dyDescent="0.2">
      <c r="B525" s="191"/>
      <c r="C525" s="15" t="s">
        <v>3</v>
      </c>
      <c r="D525" s="39">
        <v>11.4</v>
      </c>
      <c r="E525" s="39">
        <v>12.3</v>
      </c>
      <c r="F525" s="39">
        <v>13.7</v>
      </c>
      <c r="G525" s="7">
        <v>12.6</v>
      </c>
      <c r="H525" s="7">
        <v>14.6</v>
      </c>
      <c r="I525" s="7">
        <v>14.2</v>
      </c>
      <c r="J525" s="7">
        <v>13</v>
      </c>
      <c r="K525" s="7">
        <v>13</v>
      </c>
      <c r="L525" s="7">
        <v>15.4</v>
      </c>
      <c r="M525" s="7">
        <v>15.2</v>
      </c>
      <c r="N525" s="7">
        <v>12.4</v>
      </c>
      <c r="O525" s="7">
        <v>14.6</v>
      </c>
      <c r="P525" s="7">
        <v>13</v>
      </c>
      <c r="Q525" s="7">
        <v>14.9</v>
      </c>
      <c r="R525" s="7">
        <v>13.8</v>
      </c>
      <c r="S525" s="7">
        <v>12.5</v>
      </c>
      <c r="T525" s="7">
        <v>11.3</v>
      </c>
      <c r="U525" s="7">
        <v>12.7</v>
      </c>
      <c r="V525" s="7">
        <v>15.9</v>
      </c>
      <c r="W525" s="7">
        <v>14.2</v>
      </c>
      <c r="X525" s="7">
        <v>15.4</v>
      </c>
      <c r="Y525" s="7">
        <v>13.5</v>
      </c>
      <c r="Z525" s="7">
        <v>13.5</v>
      </c>
      <c r="AA525" s="7">
        <v>14.6</v>
      </c>
    </row>
    <row r="526" spans="1:27" s="5" customFormat="1" x14ac:dyDescent="0.2">
      <c r="B526" s="190" t="s">
        <v>210</v>
      </c>
      <c r="C526" s="15" t="s">
        <v>2</v>
      </c>
      <c r="D526" s="39">
        <v>2348650</v>
      </c>
      <c r="E526" s="39">
        <v>234333</v>
      </c>
      <c r="F526" s="39">
        <v>10781</v>
      </c>
      <c r="G526" s="6">
        <v>522</v>
      </c>
      <c r="H526" s="6">
        <v>585</v>
      </c>
      <c r="I526" s="6">
        <v>518</v>
      </c>
      <c r="J526" s="6">
        <v>447</v>
      </c>
      <c r="K526" s="6">
        <v>462</v>
      </c>
      <c r="L526" s="6">
        <v>430</v>
      </c>
      <c r="M526" s="6">
        <v>550</v>
      </c>
      <c r="N526" s="6">
        <v>468</v>
      </c>
      <c r="O526" s="6">
        <v>538</v>
      </c>
      <c r="P526" s="6">
        <v>524</v>
      </c>
      <c r="Q526" s="6">
        <v>522</v>
      </c>
      <c r="R526" s="6">
        <v>737</v>
      </c>
      <c r="S526" s="6">
        <v>591</v>
      </c>
      <c r="T526" s="6">
        <v>382</v>
      </c>
      <c r="U526" s="6">
        <v>457</v>
      </c>
      <c r="V526" s="6">
        <v>537</v>
      </c>
      <c r="W526" s="6">
        <v>482</v>
      </c>
      <c r="X526" s="6">
        <v>456</v>
      </c>
      <c r="Y526" s="6">
        <v>553</v>
      </c>
      <c r="Z526" s="6">
        <v>534</v>
      </c>
      <c r="AA526" s="6">
        <v>486</v>
      </c>
    </row>
    <row r="527" spans="1:27" s="5" customFormat="1" x14ac:dyDescent="0.2">
      <c r="B527" s="191"/>
      <c r="C527" s="15" t="s">
        <v>3</v>
      </c>
      <c r="D527" s="39">
        <v>9.3000000000000007</v>
      </c>
      <c r="E527" s="39">
        <v>9.6999999999999993</v>
      </c>
      <c r="F527" s="39">
        <v>10.4</v>
      </c>
      <c r="G527" s="7">
        <v>9.6999999999999993</v>
      </c>
      <c r="H527" s="7">
        <v>11.8</v>
      </c>
      <c r="I527" s="7">
        <v>11</v>
      </c>
      <c r="J527" s="7">
        <v>8.6</v>
      </c>
      <c r="K527" s="7">
        <v>9.1</v>
      </c>
      <c r="L527" s="7">
        <v>11.1</v>
      </c>
      <c r="M527" s="7">
        <v>10.6</v>
      </c>
      <c r="N527" s="7">
        <v>10.4</v>
      </c>
      <c r="O527" s="7">
        <v>9.8000000000000007</v>
      </c>
      <c r="P527" s="7">
        <v>10.5</v>
      </c>
      <c r="Q527" s="7">
        <v>12</v>
      </c>
      <c r="R527" s="7">
        <v>13.1</v>
      </c>
      <c r="S527" s="7">
        <v>11</v>
      </c>
      <c r="T527" s="7">
        <v>6.7</v>
      </c>
      <c r="U527" s="7">
        <v>7.8</v>
      </c>
      <c r="V527" s="7">
        <v>10.7</v>
      </c>
      <c r="W527" s="7">
        <v>10.1</v>
      </c>
      <c r="X527" s="7">
        <v>11.9</v>
      </c>
      <c r="Y527" s="7">
        <v>11.6</v>
      </c>
      <c r="Z527" s="7">
        <v>10.5</v>
      </c>
      <c r="AA527" s="7">
        <v>12.5</v>
      </c>
    </row>
    <row r="528" spans="1:27" s="5" customFormat="1" x14ac:dyDescent="0.2">
      <c r="B528" s="190" t="s">
        <v>211</v>
      </c>
      <c r="C528" s="15" t="s">
        <v>2</v>
      </c>
      <c r="D528" s="39">
        <v>2117477</v>
      </c>
      <c r="E528" s="39">
        <v>220859</v>
      </c>
      <c r="F528" s="39">
        <v>10870</v>
      </c>
      <c r="G528" s="6">
        <v>604</v>
      </c>
      <c r="H528" s="6">
        <v>529</v>
      </c>
      <c r="I528" s="6">
        <v>550</v>
      </c>
      <c r="J528" s="6">
        <v>445</v>
      </c>
      <c r="K528" s="6">
        <v>432</v>
      </c>
      <c r="L528" s="6">
        <v>584</v>
      </c>
      <c r="M528" s="6">
        <v>808</v>
      </c>
      <c r="N528" s="6">
        <v>332</v>
      </c>
      <c r="O528" s="6">
        <v>618</v>
      </c>
      <c r="P528" s="6">
        <v>553</v>
      </c>
      <c r="Q528" s="6">
        <v>471</v>
      </c>
      <c r="R528" s="6">
        <v>561</v>
      </c>
      <c r="S528" s="6">
        <v>477</v>
      </c>
      <c r="T528" s="6">
        <v>347</v>
      </c>
      <c r="U528" s="6">
        <v>412</v>
      </c>
      <c r="V528" s="6">
        <v>533</v>
      </c>
      <c r="W528" s="6">
        <v>429</v>
      </c>
      <c r="X528" s="6">
        <v>487</v>
      </c>
      <c r="Y528" s="6">
        <v>571</v>
      </c>
      <c r="Z528" s="6">
        <v>740</v>
      </c>
      <c r="AA528" s="6">
        <v>387</v>
      </c>
    </row>
    <row r="529" spans="1:27" s="5" customFormat="1" x14ac:dyDescent="0.2">
      <c r="B529" s="191"/>
      <c r="C529" s="15" t="s">
        <v>3</v>
      </c>
      <c r="D529" s="39">
        <v>8.4</v>
      </c>
      <c r="E529" s="39">
        <v>9.1</v>
      </c>
      <c r="F529" s="39">
        <v>10.5</v>
      </c>
      <c r="G529" s="7">
        <v>11.3</v>
      </c>
      <c r="H529" s="7">
        <v>10.7</v>
      </c>
      <c r="I529" s="7">
        <v>11.7</v>
      </c>
      <c r="J529" s="7">
        <v>8.6</v>
      </c>
      <c r="K529" s="7">
        <v>8.5</v>
      </c>
      <c r="L529" s="7">
        <v>15.1</v>
      </c>
      <c r="M529" s="7">
        <v>15.5</v>
      </c>
      <c r="N529" s="7">
        <v>7.4</v>
      </c>
      <c r="O529" s="7">
        <v>11.2</v>
      </c>
      <c r="P529" s="7">
        <v>11.1</v>
      </c>
      <c r="Q529" s="7">
        <v>10.8</v>
      </c>
      <c r="R529" s="7">
        <v>10</v>
      </c>
      <c r="S529" s="7">
        <v>8.9</v>
      </c>
      <c r="T529" s="7">
        <v>6.1</v>
      </c>
      <c r="U529" s="7">
        <v>7</v>
      </c>
      <c r="V529" s="7">
        <v>10.6</v>
      </c>
      <c r="W529" s="7">
        <v>9</v>
      </c>
      <c r="X529" s="7">
        <v>12.7</v>
      </c>
      <c r="Y529" s="7">
        <v>12</v>
      </c>
      <c r="Z529" s="7">
        <v>14.5</v>
      </c>
      <c r="AA529" s="7">
        <v>10</v>
      </c>
    </row>
    <row r="530" spans="1:27" s="5" customFormat="1" x14ac:dyDescent="0.2">
      <c r="B530" s="190" t="s">
        <v>212</v>
      </c>
      <c r="C530" s="15" t="s">
        <v>2</v>
      </c>
      <c r="D530" s="39">
        <v>1808024</v>
      </c>
      <c r="E530" s="39">
        <v>214439</v>
      </c>
      <c r="F530" s="39">
        <v>11291</v>
      </c>
      <c r="G530" s="6">
        <v>656</v>
      </c>
      <c r="H530" s="6">
        <v>698</v>
      </c>
      <c r="I530" s="6">
        <v>534</v>
      </c>
      <c r="J530" s="6">
        <v>541</v>
      </c>
      <c r="K530" s="6">
        <v>422</v>
      </c>
      <c r="L530" s="6">
        <v>525</v>
      </c>
      <c r="M530" s="6">
        <v>613</v>
      </c>
      <c r="N530" s="6">
        <v>373</v>
      </c>
      <c r="O530" s="6">
        <v>536</v>
      </c>
      <c r="P530" s="6">
        <v>537</v>
      </c>
      <c r="Q530" s="6">
        <v>607</v>
      </c>
      <c r="R530" s="6">
        <v>686</v>
      </c>
      <c r="S530" s="6">
        <v>491</v>
      </c>
      <c r="T530" s="6">
        <v>301</v>
      </c>
      <c r="U530" s="6">
        <v>429</v>
      </c>
      <c r="V530" s="6">
        <v>440</v>
      </c>
      <c r="W530" s="6">
        <v>658</v>
      </c>
      <c r="X530" s="6">
        <v>598</v>
      </c>
      <c r="Y530" s="6">
        <v>576</v>
      </c>
      <c r="Z530" s="6">
        <v>627</v>
      </c>
      <c r="AA530" s="6">
        <v>443</v>
      </c>
    </row>
    <row r="531" spans="1:27" s="5" customFormat="1" x14ac:dyDescent="0.2">
      <c r="B531" s="191"/>
      <c r="C531" s="15" t="s">
        <v>3</v>
      </c>
      <c r="D531" s="39">
        <v>7.2</v>
      </c>
      <c r="E531" s="39">
        <v>8.8000000000000007</v>
      </c>
      <c r="F531" s="39">
        <v>10.9</v>
      </c>
      <c r="G531" s="7">
        <v>12.2</v>
      </c>
      <c r="H531" s="7">
        <v>14.1</v>
      </c>
      <c r="I531" s="7">
        <v>11.3</v>
      </c>
      <c r="J531" s="7">
        <v>10.4</v>
      </c>
      <c r="K531" s="7">
        <v>8.3000000000000007</v>
      </c>
      <c r="L531" s="7">
        <v>13.6</v>
      </c>
      <c r="M531" s="7">
        <v>11.8</v>
      </c>
      <c r="N531" s="7">
        <v>8.3000000000000007</v>
      </c>
      <c r="O531" s="7">
        <v>9.6999999999999993</v>
      </c>
      <c r="P531" s="7">
        <v>10.8</v>
      </c>
      <c r="Q531" s="7">
        <v>13.9</v>
      </c>
      <c r="R531" s="7">
        <v>12.2</v>
      </c>
      <c r="S531" s="7">
        <v>9.1</v>
      </c>
      <c r="T531" s="7">
        <v>5.3</v>
      </c>
      <c r="U531" s="7">
        <v>7.3</v>
      </c>
      <c r="V531" s="7">
        <v>8.8000000000000007</v>
      </c>
      <c r="W531" s="7">
        <v>13.8</v>
      </c>
      <c r="X531" s="7">
        <v>15.6</v>
      </c>
      <c r="Y531" s="7">
        <v>12.1</v>
      </c>
      <c r="Z531" s="7">
        <v>12.3</v>
      </c>
      <c r="AA531" s="7">
        <v>11.4</v>
      </c>
    </row>
    <row r="532" spans="1:27" s="5" customFormat="1" x14ac:dyDescent="0.2">
      <c r="B532" s="190" t="s">
        <v>213</v>
      </c>
      <c r="C532" s="15" t="s">
        <v>2</v>
      </c>
      <c r="D532" s="39">
        <v>2792318</v>
      </c>
      <c r="E532" s="39">
        <v>302767</v>
      </c>
      <c r="F532" s="39">
        <v>13477</v>
      </c>
      <c r="G532" s="6">
        <v>792</v>
      </c>
      <c r="H532" s="6">
        <v>649</v>
      </c>
      <c r="I532" s="6">
        <v>548</v>
      </c>
      <c r="J532" s="6">
        <v>544</v>
      </c>
      <c r="K532" s="6">
        <v>552</v>
      </c>
      <c r="L532" s="6">
        <v>643</v>
      </c>
      <c r="M532" s="6">
        <v>766</v>
      </c>
      <c r="N532" s="6">
        <v>482</v>
      </c>
      <c r="O532" s="6">
        <v>749</v>
      </c>
      <c r="P532" s="6">
        <v>848</v>
      </c>
      <c r="Q532" s="6">
        <v>686</v>
      </c>
      <c r="R532" s="6">
        <v>799</v>
      </c>
      <c r="S532" s="6">
        <v>586</v>
      </c>
      <c r="T532" s="6">
        <v>376</v>
      </c>
      <c r="U532" s="6">
        <v>569</v>
      </c>
      <c r="V532" s="6">
        <v>631</v>
      </c>
      <c r="W532" s="6">
        <v>592</v>
      </c>
      <c r="X532" s="6">
        <v>728</v>
      </c>
      <c r="Y532" s="6">
        <v>710</v>
      </c>
      <c r="Z532" s="6">
        <v>682</v>
      </c>
      <c r="AA532" s="6">
        <v>545</v>
      </c>
    </row>
    <row r="533" spans="1:27" s="5" customFormat="1" x14ac:dyDescent="0.2">
      <c r="B533" s="191"/>
      <c r="C533" s="15" t="s">
        <v>3</v>
      </c>
      <c r="D533" s="39">
        <v>11.1</v>
      </c>
      <c r="E533" s="39">
        <v>12.5</v>
      </c>
      <c r="F533" s="39">
        <v>13</v>
      </c>
      <c r="G533" s="7">
        <v>14.8</v>
      </c>
      <c r="H533" s="7">
        <v>13.1</v>
      </c>
      <c r="I533" s="7">
        <v>11.6</v>
      </c>
      <c r="J533" s="7">
        <v>10.5</v>
      </c>
      <c r="K533" s="7">
        <v>10.9</v>
      </c>
      <c r="L533" s="7">
        <v>16.7</v>
      </c>
      <c r="M533" s="7">
        <v>14.7</v>
      </c>
      <c r="N533" s="7">
        <v>10.7</v>
      </c>
      <c r="O533" s="7">
        <v>13.6</v>
      </c>
      <c r="P533" s="7">
        <v>17.100000000000001</v>
      </c>
      <c r="Q533" s="7">
        <v>15.8</v>
      </c>
      <c r="R533" s="7">
        <v>14.2</v>
      </c>
      <c r="S533" s="7">
        <v>10.9</v>
      </c>
      <c r="T533" s="7">
        <v>6.6</v>
      </c>
      <c r="U533" s="7">
        <v>9.6999999999999993</v>
      </c>
      <c r="V533" s="7">
        <v>12.6</v>
      </c>
      <c r="W533" s="7">
        <v>12.4</v>
      </c>
      <c r="X533" s="7">
        <v>19</v>
      </c>
      <c r="Y533" s="7">
        <v>15</v>
      </c>
      <c r="Z533" s="7">
        <v>13.4</v>
      </c>
      <c r="AA533" s="7">
        <v>14</v>
      </c>
    </row>
    <row r="534" spans="1:27" s="5" customFormat="1" x14ac:dyDescent="0.2">
      <c r="A534" s="5" t="s">
        <v>12</v>
      </c>
      <c r="B534" s="190" t="s">
        <v>1</v>
      </c>
      <c r="C534" s="15" t="s">
        <v>2</v>
      </c>
      <c r="D534" s="39">
        <v>22063368</v>
      </c>
      <c r="E534" s="39">
        <v>2224059</v>
      </c>
      <c r="F534" s="39">
        <v>100734</v>
      </c>
      <c r="G534" s="6">
        <v>5248</v>
      </c>
      <c r="H534" s="6">
        <v>4620</v>
      </c>
      <c r="I534" s="6">
        <v>4577</v>
      </c>
      <c r="J534" s="6">
        <v>4595</v>
      </c>
      <c r="K534" s="6">
        <v>4590</v>
      </c>
      <c r="L534" s="6">
        <v>4666</v>
      </c>
      <c r="M534" s="6">
        <v>4957</v>
      </c>
      <c r="N534" s="6">
        <v>4378</v>
      </c>
      <c r="O534" s="6">
        <v>5112</v>
      </c>
      <c r="P534" s="6">
        <v>4982</v>
      </c>
      <c r="Q534" s="6">
        <v>4725</v>
      </c>
      <c r="R534" s="6">
        <v>5511</v>
      </c>
      <c r="S534" s="6">
        <v>4798</v>
      </c>
      <c r="T534" s="6">
        <v>4953</v>
      </c>
      <c r="U534" s="6">
        <v>4878</v>
      </c>
      <c r="V534" s="6">
        <v>4920</v>
      </c>
      <c r="W534" s="6">
        <v>4583</v>
      </c>
      <c r="X534" s="6">
        <v>4350</v>
      </c>
      <c r="Y534" s="6">
        <v>5024</v>
      </c>
      <c r="Z534" s="6">
        <v>4965</v>
      </c>
      <c r="AA534" s="6">
        <v>4302</v>
      </c>
    </row>
    <row r="535" spans="1:27" s="5" customFormat="1" x14ac:dyDescent="0.2">
      <c r="B535" s="191"/>
      <c r="C535" s="15" t="s">
        <v>3</v>
      </c>
      <c r="D535" s="39">
        <v>100</v>
      </c>
      <c r="E535" s="39">
        <v>100</v>
      </c>
      <c r="F535" s="39">
        <v>100</v>
      </c>
      <c r="G535" s="7">
        <v>100</v>
      </c>
      <c r="H535" s="7">
        <v>100</v>
      </c>
      <c r="I535" s="7">
        <v>100</v>
      </c>
      <c r="J535" s="7">
        <v>100</v>
      </c>
      <c r="K535" s="7">
        <v>100</v>
      </c>
      <c r="L535" s="7">
        <v>100</v>
      </c>
      <c r="M535" s="7">
        <v>100</v>
      </c>
      <c r="N535" s="7">
        <v>100</v>
      </c>
      <c r="O535" s="7">
        <v>100</v>
      </c>
      <c r="P535" s="7">
        <v>100</v>
      </c>
      <c r="Q535" s="7">
        <v>100</v>
      </c>
      <c r="R535" s="7">
        <v>100</v>
      </c>
      <c r="S535" s="7">
        <v>100</v>
      </c>
      <c r="T535" s="7">
        <v>100</v>
      </c>
      <c r="U535" s="7">
        <v>100</v>
      </c>
      <c r="V535" s="7">
        <v>100</v>
      </c>
      <c r="W535" s="7">
        <v>100</v>
      </c>
      <c r="X535" s="7">
        <v>100</v>
      </c>
      <c r="Y535" s="7">
        <v>100</v>
      </c>
      <c r="Z535" s="7">
        <v>100</v>
      </c>
      <c r="AA535" s="7">
        <v>100</v>
      </c>
    </row>
    <row r="536" spans="1:27" s="5" customFormat="1" x14ac:dyDescent="0.2">
      <c r="B536" s="190" t="s">
        <v>4</v>
      </c>
      <c r="C536" s="15" t="s">
        <v>2</v>
      </c>
      <c r="D536" s="39">
        <v>7348649</v>
      </c>
      <c r="E536" s="39">
        <v>788895</v>
      </c>
      <c r="F536" s="39">
        <v>38675</v>
      </c>
      <c r="G536" s="6">
        <v>1889</v>
      </c>
      <c r="H536" s="6">
        <v>1685</v>
      </c>
      <c r="I536" s="6">
        <v>1741</v>
      </c>
      <c r="J536" s="6">
        <v>1551</v>
      </c>
      <c r="K536" s="6">
        <v>1687</v>
      </c>
      <c r="L536" s="6">
        <v>2256</v>
      </c>
      <c r="M536" s="6">
        <v>1850</v>
      </c>
      <c r="N536" s="6">
        <v>1739</v>
      </c>
      <c r="O536" s="6">
        <v>1830</v>
      </c>
      <c r="P536" s="6">
        <v>1831</v>
      </c>
      <c r="Q536" s="6">
        <v>2069</v>
      </c>
      <c r="R536" s="6">
        <v>2113</v>
      </c>
      <c r="S536" s="6">
        <v>1586</v>
      </c>
      <c r="T536" s="6">
        <v>1651</v>
      </c>
      <c r="U536" s="6">
        <v>1516</v>
      </c>
      <c r="V536" s="6">
        <v>1952</v>
      </c>
      <c r="W536" s="6">
        <v>1801</v>
      </c>
      <c r="X536" s="6">
        <v>1971</v>
      </c>
      <c r="Y536" s="6">
        <v>2148</v>
      </c>
      <c r="Z536" s="6">
        <v>1893</v>
      </c>
      <c r="AA536" s="6">
        <v>1916</v>
      </c>
    </row>
    <row r="537" spans="1:27" s="5" customFormat="1" x14ac:dyDescent="0.2">
      <c r="B537" s="191"/>
      <c r="C537" s="15" t="s">
        <v>3</v>
      </c>
      <c r="D537" s="39">
        <v>33.299999999999997</v>
      </c>
      <c r="E537" s="39">
        <v>35.5</v>
      </c>
      <c r="F537" s="39">
        <v>38.4</v>
      </c>
      <c r="G537" s="7">
        <v>36</v>
      </c>
      <c r="H537" s="7">
        <v>36.5</v>
      </c>
      <c r="I537" s="7">
        <v>38</v>
      </c>
      <c r="J537" s="7">
        <v>33.799999999999997</v>
      </c>
      <c r="K537" s="7">
        <v>36.799999999999997</v>
      </c>
      <c r="L537" s="7">
        <v>48.3</v>
      </c>
      <c r="M537" s="7">
        <v>37.299999999999997</v>
      </c>
      <c r="N537" s="7">
        <v>39.700000000000003</v>
      </c>
      <c r="O537" s="7">
        <v>35.799999999999997</v>
      </c>
      <c r="P537" s="7">
        <v>36.799999999999997</v>
      </c>
      <c r="Q537" s="7">
        <v>43.8</v>
      </c>
      <c r="R537" s="7">
        <v>38.299999999999997</v>
      </c>
      <c r="S537" s="7">
        <v>33.1</v>
      </c>
      <c r="T537" s="7">
        <v>33.299999999999997</v>
      </c>
      <c r="U537" s="7">
        <v>31.1</v>
      </c>
      <c r="V537" s="7">
        <v>39.700000000000003</v>
      </c>
      <c r="W537" s="7">
        <v>39.299999999999997</v>
      </c>
      <c r="X537" s="7">
        <v>45.3</v>
      </c>
      <c r="Y537" s="7">
        <v>42.8</v>
      </c>
      <c r="Z537" s="7">
        <v>38.1</v>
      </c>
      <c r="AA537" s="7">
        <v>44.5</v>
      </c>
    </row>
    <row r="538" spans="1:27" s="5" customFormat="1" x14ac:dyDescent="0.2">
      <c r="B538" s="190" t="s">
        <v>5</v>
      </c>
      <c r="C538" s="15" t="s">
        <v>2</v>
      </c>
      <c r="D538" s="39">
        <v>922192</v>
      </c>
      <c r="E538" s="39">
        <v>97434</v>
      </c>
      <c r="F538" s="39">
        <v>5303</v>
      </c>
      <c r="G538" s="6">
        <v>246</v>
      </c>
      <c r="H538" s="6">
        <v>261</v>
      </c>
      <c r="I538" s="6">
        <v>257</v>
      </c>
      <c r="J538" s="6">
        <v>162</v>
      </c>
      <c r="K538" s="6">
        <v>124</v>
      </c>
      <c r="L538" s="6">
        <v>417</v>
      </c>
      <c r="M538" s="6">
        <v>335</v>
      </c>
      <c r="N538" s="6">
        <v>91</v>
      </c>
      <c r="O538" s="6">
        <v>275</v>
      </c>
      <c r="P538" s="6">
        <v>331</v>
      </c>
      <c r="Q538" s="6">
        <v>303</v>
      </c>
      <c r="R538" s="6">
        <v>335</v>
      </c>
      <c r="S538" s="6">
        <v>180</v>
      </c>
      <c r="T538" s="6">
        <v>60</v>
      </c>
      <c r="U538" s="6">
        <v>102</v>
      </c>
      <c r="V538" s="6">
        <v>193</v>
      </c>
      <c r="W538" s="6">
        <v>241</v>
      </c>
      <c r="X538" s="6">
        <v>414</v>
      </c>
      <c r="Y538" s="6">
        <v>359</v>
      </c>
      <c r="Z538" s="6">
        <v>307</v>
      </c>
      <c r="AA538" s="6">
        <v>310</v>
      </c>
    </row>
    <row r="539" spans="1:27" s="5" customFormat="1" x14ac:dyDescent="0.2">
      <c r="B539" s="191"/>
      <c r="C539" s="15" t="s">
        <v>3</v>
      </c>
      <c r="D539" s="39">
        <v>4.2</v>
      </c>
      <c r="E539" s="39">
        <v>4.4000000000000004</v>
      </c>
      <c r="F539" s="39">
        <v>5.3</v>
      </c>
      <c r="G539" s="7">
        <v>4.7</v>
      </c>
      <c r="H539" s="7">
        <v>5.6</v>
      </c>
      <c r="I539" s="7">
        <v>5.6</v>
      </c>
      <c r="J539" s="7">
        <v>3.5</v>
      </c>
      <c r="K539" s="7">
        <v>2.7</v>
      </c>
      <c r="L539" s="7">
        <v>8.9</v>
      </c>
      <c r="M539" s="7">
        <v>6.8</v>
      </c>
      <c r="N539" s="7">
        <v>2.1</v>
      </c>
      <c r="O539" s="7">
        <v>5.4</v>
      </c>
      <c r="P539" s="7">
        <v>6.6</v>
      </c>
      <c r="Q539" s="7">
        <v>6.4</v>
      </c>
      <c r="R539" s="7">
        <v>6.1</v>
      </c>
      <c r="S539" s="7">
        <v>3.8</v>
      </c>
      <c r="T539" s="7">
        <v>1.2</v>
      </c>
      <c r="U539" s="7">
        <v>2.1</v>
      </c>
      <c r="V539" s="7">
        <v>3.9</v>
      </c>
      <c r="W539" s="7">
        <v>5.3</v>
      </c>
      <c r="X539" s="7">
        <v>9.5</v>
      </c>
      <c r="Y539" s="7">
        <v>7.1</v>
      </c>
      <c r="Z539" s="7">
        <v>6.2</v>
      </c>
      <c r="AA539" s="7">
        <v>7.2</v>
      </c>
    </row>
    <row r="540" spans="1:27" s="5" customFormat="1" x14ac:dyDescent="0.2">
      <c r="B540" s="190" t="s">
        <v>6</v>
      </c>
      <c r="C540" s="15" t="s">
        <v>2</v>
      </c>
      <c r="D540" s="39">
        <v>6426457</v>
      </c>
      <c r="E540" s="39">
        <v>691461</v>
      </c>
      <c r="F540" s="39">
        <v>33372</v>
      </c>
      <c r="G540" s="6">
        <v>1643</v>
      </c>
      <c r="H540" s="6">
        <v>1424</v>
      </c>
      <c r="I540" s="6">
        <v>1484</v>
      </c>
      <c r="J540" s="6">
        <v>1389</v>
      </c>
      <c r="K540" s="6">
        <v>1563</v>
      </c>
      <c r="L540" s="6">
        <v>1839</v>
      </c>
      <c r="M540" s="6">
        <v>1515</v>
      </c>
      <c r="N540" s="6">
        <v>1648</v>
      </c>
      <c r="O540" s="6">
        <v>1555</v>
      </c>
      <c r="P540" s="6">
        <v>1500</v>
      </c>
      <c r="Q540" s="6">
        <v>1766</v>
      </c>
      <c r="R540" s="6">
        <v>1778</v>
      </c>
      <c r="S540" s="6">
        <v>1406</v>
      </c>
      <c r="T540" s="6">
        <v>1591</v>
      </c>
      <c r="U540" s="6">
        <v>1414</v>
      </c>
      <c r="V540" s="6">
        <v>1759</v>
      </c>
      <c r="W540" s="6">
        <v>1560</v>
      </c>
      <c r="X540" s="6">
        <v>1557</v>
      </c>
      <c r="Y540" s="6">
        <v>1789</v>
      </c>
      <c r="Z540" s="6">
        <v>1586</v>
      </c>
      <c r="AA540" s="6">
        <v>1606</v>
      </c>
    </row>
    <row r="541" spans="1:27" s="5" customFormat="1" x14ac:dyDescent="0.2">
      <c r="B541" s="191"/>
      <c r="C541" s="15" t="s">
        <v>3</v>
      </c>
      <c r="D541" s="39">
        <v>29.1</v>
      </c>
      <c r="E541" s="39">
        <v>31.1</v>
      </c>
      <c r="F541" s="39">
        <v>33.1</v>
      </c>
      <c r="G541" s="7">
        <v>31.3</v>
      </c>
      <c r="H541" s="7">
        <v>30.8</v>
      </c>
      <c r="I541" s="7">
        <v>32.4</v>
      </c>
      <c r="J541" s="7">
        <v>30.2</v>
      </c>
      <c r="K541" s="7">
        <v>34.1</v>
      </c>
      <c r="L541" s="7">
        <v>39.4</v>
      </c>
      <c r="M541" s="7">
        <v>30.6</v>
      </c>
      <c r="N541" s="7">
        <v>37.6</v>
      </c>
      <c r="O541" s="7">
        <v>30.4</v>
      </c>
      <c r="P541" s="7">
        <v>30.1</v>
      </c>
      <c r="Q541" s="7">
        <v>37.4</v>
      </c>
      <c r="R541" s="7">
        <v>32.299999999999997</v>
      </c>
      <c r="S541" s="7">
        <v>29.3</v>
      </c>
      <c r="T541" s="7">
        <v>32.1</v>
      </c>
      <c r="U541" s="7">
        <v>29</v>
      </c>
      <c r="V541" s="7">
        <v>35.799999999999997</v>
      </c>
      <c r="W541" s="7">
        <v>34</v>
      </c>
      <c r="X541" s="7">
        <v>35.799999999999997</v>
      </c>
      <c r="Y541" s="7">
        <v>35.6</v>
      </c>
      <c r="Z541" s="7">
        <v>31.9</v>
      </c>
      <c r="AA541" s="7">
        <v>37.299999999999997</v>
      </c>
    </row>
    <row r="542" spans="1:27" s="5" customFormat="1" x14ac:dyDescent="0.2">
      <c r="B542" s="190" t="s">
        <v>7</v>
      </c>
      <c r="C542" s="15" t="s">
        <v>2</v>
      </c>
      <c r="D542" s="44">
        <v>6425647</v>
      </c>
      <c r="E542" s="39">
        <v>639616</v>
      </c>
      <c r="F542" s="39">
        <v>29335</v>
      </c>
      <c r="G542" s="6">
        <v>1336</v>
      </c>
      <c r="H542" s="6">
        <v>1487</v>
      </c>
      <c r="I542" s="6">
        <v>1361</v>
      </c>
      <c r="J542" s="6">
        <v>1355</v>
      </c>
      <c r="K542" s="6">
        <v>1298</v>
      </c>
      <c r="L542" s="6">
        <v>1350</v>
      </c>
      <c r="M542" s="6">
        <v>1635</v>
      </c>
      <c r="N542" s="6">
        <v>1084</v>
      </c>
      <c r="O542" s="6">
        <v>1525</v>
      </c>
      <c r="P542" s="6">
        <v>1379</v>
      </c>
      <c r="Q542" s="6">
        <v>1285</v>
      </c>
      <c r="R542" s="6">
        <v>1734</v>
      </c>
      <c r="S542" s="6">
        <v>1415</v>
      </c>
      <c r="T542" s="6">
        <v>1362</v>
      </c>
      <c r="U542" s="6">
        <v>1424</v>
      </c>
      <c r="V542" s="6">
        <v>1359</v>
      </c>
      <c r="W542" s="6">
        <v>1365</v>
      </c>
      <c r="X542" s="6">
        <v>1423</v>
      </c>
      <c r="Y542" s="6">
        <v>1482</v>
      </c>
      <c r="Z542" s="6">
        <v>1514</v>
      </c>
      <c r="AA542" s="6">
        <v>1162</v>
      </c>
    </row>
    <row r="543" spans="1:27" s="5" customFormat="1" x14ac:dyDescent="0.2">
      <c r="B543" s="191"/>
      <c r="C543" s="15" t="s">
        <v>3</v>
      </c>
      <c r="D543" s="44">
        <v>29.1</v>
      </c>
      <c r="E543" s="39">
        <v>28.8</v>
      </c>
      <c r="F543" s="39">
        <v>29.1</v>
      </c>
      <c r="G543" s="7">
        <v>25.5</v>
      </c>
      <c r="H543" s="7">
        <v>32.200000000000003</v>
      </c>
      <c r="I543" s="7">
        <v>29.7</v>
      </c>
      <c r="J543" s="7">
        <v>29.5</v>
      </c>
      <c r="K543" s="7">
        <v>28.3</v>
      </c>
      <c r="L543" s="7">
        <v>28.9</v>
      </c>
      <c r="M543" s="7">
        <v>33</v>
      </c>
      <c r="N543" s="7">
        <v>24.8</v>
      </c>
      <c r="O543" s="7">
        <v>29.8</v>
      </c>
      <c r="P543" s="7">
        <v>27.7</v>
      </c>
      <c r="Q543" s="7">
        <v>27.2</v>
      </c>
      <c r="R543" s="7">
        <v>31.5</v>
      </c>
      <c r="S543" s="7">
        <v>29.5</v>
      </c>
      <c r="T543" s="7">
        <v>27.5</v>
      </c>
      <c r="U543" s="7">
        <v>29.2</v>
      </c>
      <c r="V543" s="7">
        <v>27.6</v>
      </c>
      <c r="W543" s="7">
        <v>29.8</v>
      </c>
      <c r="X543" s="7">
        <v>32.700000000000003</v>
      </c>
      <c r="Y543" s="7">
        <v>29.5</v>
      </c>
      <c r="Z543" s="7">
        <v>30.5</v>
      </c>
      <c r="AA543" s="7">
        <v>27</v>
      </c>
    </row>
    <row r="544" spans="1:27" s="5" customFormat="1" x14ac:dyDescent="0.2">
      <c r="B544" s="190" t="s">
        <v>8</v>
      </c>
      <c r="C544" s="15" t="s">
        <v>2</v>
      </c>
      <c r="D544" s="39">
        <v>2606564</v>
      </c>
      <c r="E544" s="39">
        <v>258036</v>
      </c>
      <c r="F544" s="39">
        <v>11191</v>
      </c>
      <c r="G544" s="6">
        <v>571</v>
      </c>
      <c r="H544" s="6">
        <v>578</v>
      </c>
      <c r="I544" s="6">
        <v>541</v>
      </c>
      <c r="J544" s="6">
        <v>469</v>
      </c>
      <c r="K544" s="6">
        <v>424</v>
      </c>
      <c r="L544" s="6">
        <v>575</v>
      </c>
      <c r="M544" s="6">
        <v>679</v>
      </c>
      <c r="N544" s="6">
        <v>368</v>
      </c>
      <c r="O544" s="6">
        <v>589</v>
      </c>
      <c r="P544" s="6">
        <v>619</v>
      </c>
      <c r="Q544" s="6">
        <v>537</v>
      </c>
      <c r="R544" s="6">
        <v>665</v>
      </c>
      <c r="S544" s="6">
        <v>545</v>
      </c>
      <c r="T544" s="6">
        <v>429</v>
      </c>
      <c r="U544" s="6">
        <v>510</v>
      </c>
      <c r="V544" s="6">
        <v>482</v>
      </c>
      <c r="W544" s="6">
        <v>463</v>
      </c>
      <c r="X544" s="6">
        <v>548</v>
      </c>
      <c r="Y544" s="6">
        <v>593</v>
      </c>
      <c r="Z544" s="6">
        <v>566</v>
      </c>
      <c r="AA544" s="6">
        <v>440</v>
      </c>
    </row>
    <row r="545" spans="1:27" s="5" customFormat="1" x14ac:dyDescent="0.2">
      <c r="B545" s="191"/>
      <c r="C545" s="15" t="s">
        <v>3</v>
      </c>
      <c r="D545" s="39">
        <v>11.8</v>
      </c>
      <c r="E545" s="39">
        <v>11.6</v>
      </c>
      <c r="F545" s="39">
        <v>11.1</v>
      </c>
      <c r="G545" s="7">
        <v>10.9</v>
      </c>
      <c r="H545" s="7">
        <v>12.5</v>
      </c>
      <c r="I545" s="7">
        <v>11.8</v>
      </c>
      <c r="J545" s="7">
        <v>10.199999999999999</v>
      </c>
      <c r="K545" s="7">
        <v>9.1999999999999993</v>
      </c>
      <c r="L545" s="7">
        <v>12.3</v>
      </c>
      <c r="M545" s="7">
        <v>13.7</v>
      </c>
      <c r="N545" s="7">
        <v>8.4</v>
      </c>
      <c r="O545" s="7">
        <v>11.5</v>
      </c>
      <c r="P545" s="7">
        <v>12.4</v>
      </c>
      <c r="Q545" s="7">
        <v>11.4</v>
      </c>
      <c r="R545" s="7">
        <v>12.1</v>
      </c>
      <c r="S545" s="7">
        <v>11.4</v>
      </c>
      <c r="T545" s="7">
        <v>8.6999999999999993</v>
      </c>
      <c r="U545" s="7">
        <v>10.5</v>
      </c>
      <c r="V545" s="7">
        <v>9.8000000000000007</v>
      </c>
      <c r="W545" s="7">
        <v>10.1</v>
      </c>
      <c r="X545" s="7">
        <v>12.6</v>
      </c>
      <c r="Y545" s="7">
        <v>11.8</v>
      </c>
      <c r="Z545" s="7">
        <v>11.4</v>
      </c>
      <c r="AA545" s="7">
        <v>10.199999999999999</v>
      </c>
    </row>
    <row r="546" spans="1:27" s="5" customFormat="1" x14ac:dyDescent="0.2">
      <c r="B546" s="190" t="s">
        <v>9</v>
      </c>
      <c r="C546" s="15" t="s">
        <v>2</v>
      </c>
      <c r="D546" s="39">
        <v>5659606</v>
      </c>
      <c r="E546" s="39">
        <v>593043</v>
      </c>
      <c r="F546" s="39">
        <v>30992</v>
      </c>
      <c r="G546" s="6">
        <v>1469</v>
      </c>
      <c r="H546" s="6">
        <v>1383</v>
      </c>
      <c r="I546" s="6">
        <v>1351</v>
      </c>
      <c r="J546" s="6">
        <v>1244</v>
      </c>
      <c r="K546" s="6">
        <v>1282</v>
      </c>
      <c r="L546" s="6">
        <v>1778</v>
      </c>
      <c r="M546" s="6">
        <v>1610</v>
      </c>
      <c r="N546" s="6">
        <v>1324</v>
      </c>
      <c r="O546" s="6">
        <v>1527</v>
      </c>
      <c r="P546" s="6">
        <v>1508</v>
      </c>
      <c r="Q546" s="6">
        <v>1655</v>
      </c>
      <c r="R546" s="6">
        <v>1775</v>
      </c>
      <c r="S546" s="6">
        <v>1280</v>
      </c>
      <c r="T546" s="6">
        <v>1213</v>
      </c>
      <c r="U546" s="6">
        <v>1234</v>
      </c>
      <c r="V546" s="6">
        <v>1514</v>
      </c>
      <c r="W546" s="6">
        <v>1479</v>
      </c>
      <c r="X546" s="6">
        <v>1578</v>
      </c>
      <c r="Y546" s="6">
        <v>1674</v>
      </c>
      <c r="Z546" s="6">
        <v>1611</v>
      </c>
      <c r="AA546" s="6">
        <v>1503</v>
      </c>
    </row>
    <row r="547" spans="1:27" s="5" customFormat="1" x14ac:dyDescent="0.2">
      <c r="B547" s="191"/>
      <c r="C547" s="15" t="s">
        <v>3</v>
      </c>
      <c r="D547" s="39">
        <v>25.7</v>
      </c>
      <c r="E547" s="39">
        <v>26.7</v>
      </c>
      <c r="F547" s="39">
        <v>30.8</v>
      </c>
      <c r="G547" s="7">
        <v>28</v>
      </c>
      <c r="H547" s="7">
        <v>29.9</v>
      </c>
      <c r="I547" s="7">
        <v>29.5</v>
      </c>
      <c r="J547" s="7">
        <v>27.1</v>
      </c>
      <c r="K547" s="7">
        <v>27.9</v>
      </c>
      <c r="L547" s="7">
        <v>38.1</v>
      </c>
      <c r="M547" s="7">
        <v>32.5</v>
      </c>
      <c r="N547" s="7">
        <v>30.2</v>
      </c>
      <c r="O547" s="7">
        <v>29.9</v>
      </c>
      <c r="P547" s="7">
        <v>30.3</v>
      </c>
      <c r="Q547" s="7">
        <v>35</v>
      </c>
      <c r="R547" s="7">
        <v>32.200000000000003</v>
      </c>
      <c r="S547" s="7">
        <v>26.7</v>
      </c>
      <c r="T547" s="7">
        <v>24.5</v>
      </c>
      <c r="U547" s="7">
        <v>25.3</v>
      </c>
      <c r="V547" s="7">
        <v>30.8</v>
      </c>
      <c r="W547" s="7">
        <v>32.299999999999997</v>
      </c>
      <c r="X547" s="7">
        <v>36.299999999999997</v>
      </c>
      <c r="Y547" s="7">
        <v>33.299999999999997</v>
      </c>
      <c r="Z547" s="7">
        <v>32.4</v>
      </c>
      <c r="AA547" s="7">
        <v>34.9</v>
      </c>
    </row>
    <row r="548" spans="1:27" s="5" customFormat="1" x14ac:dyDescent="0.2">
      <c r="B548" s="190" t="s">
        <v>10</v>
      </c>
      <c r="C548" s="15" t="s">
        <v>2</v>
      </c>
      <c r="D548" s="39">
        <v>1019932</v>
      </c>
      <c r="E548" s="39">
        <v>102883</v>
      </c>
      <c r="F548" s="39">
        <v>5450</v>
      </c>
      <c r="G548" s="6">
        <v>235</v>
      </c>
      <c r="H548" s="6">
        <v>289</v>
      </c>
      <c r="I548" s="6">
        <v>250</v>
      </c>
      <c r="J548" s="6">
        <v>217</v>
      </c>
      <c r="K548" s="6">
        <v>198</v>
      </c>
      <c r="L548" s="6">
        <v>329</v>
      </c>
      <c r="M548" s="6">
        <v>355</v>
      </c>
      <c r="N548" s="6">
        <v>161</v>
      </c>
      <c r="O548" s="6">
        <v>287</v>
      </c>
      <c r="P548" s="6">
        <v>254</v>
      </c>
      <c r="Q548" s="6">
        <v>282</v>
      </c>
      <c r="R548" s="6">
        <v>352</v>
      </c>
      <c r="S548" s="6">
        <v>216</v>
      </c>
      <c r="T548" s="6">
        <v>166</v>
      </c>
      <c r="U548" s="6">
        <v>193</v>
      </c>
      <c r="V548" s="6">
        <v>212</v>
      </c>
      <c r="W548" s="6">
        <v>270</v>
      </c>
      <c r="X548" s="6">
        <v>298</v>
      </c>
      <c r="Y548" s="6">
        <v>305</v>
      </c>
      <c r="Z548" s="6">
        <v>325</v>
      </c>
      <c r="AA548" s="6">
        <v>256</v>
      </c>
    </row>
    <row r="549" spans="1:27" s="5" customFormat="1" x14ac:dyDescent="0.2">
      <c r="B549" s="191"/>
      <c r="C549" s="15" t="s">
        <v>3</v>
      </c>
      <c r="D549" s="39">
        <v>4.5999999999999996</v>
      </c>
      <c r="E549" s="39">
        <v>4.5999999999999996</v>
      </c>
      <c r="F549" s="39">
        <v>5.4</v>
      </c>
      <c r="G549" s="7">
        <v>4.5</v>
      </c>
      <c r="H549" s="7">
        <v>6.3</v>
      </c>
      <c r="I549" s="7">
        <v>5.5</v>
      </c>
      <c r="J549" s="7">
        <v>4.7</v>
      </c>
      <c r="K549" s="7">
        <v>4.3</v>
      </c>
      <c r="L549" s="7">
        <v>7.1</v>
      </c>
      <c r="M549" s="7">
        <v>7.2</v>
      </c>
      <c r="N549" s="7">
        <v>3.7</v>
      </c>
      <c r="O549" s="7">
        <v>5.6</v>
      </c>
      <c r="P549" s="7">
        <v>5.0999999999999996</v>
      </c>
      <c r="Q549" s="7">
        <v>6</v>
      </c>
      <c r="R549" s="7">
        <v>6.4</v>
      </c>
      <c r="S549" s="7">
        <v>4.5</v>
      </c>
      <c r="T549" s="7">
        <v>3.4</v>
      </c>
      <c r="U549" s="7">
        <v>4</v>
      </c>
      <c r="V549" s="7">
        <v>4.3</v>
      </c>
      <c r="W549" s="7">
        <v>5.9</v>
      </c>
      <c r="X549" s="7">
        <v>6.9</v>
      </c>
      <c r="Y549" s="7">
        <v>6.1</v>
      </c>
      <c r="Z549" s="7">
        <v>6.5</v>
      </c>
      <c r="AA549" s="7">
        <v>6</v>
      </c>
    </row>
    <row r="550" spans="1:27" s="5" customFormat="1" x14ac:dyDescent="0.2">
      <c r="B550" s="190" t="s">
        <v>11</v>
      </c>
      <c r="C550" s="15" t="s">
        <v>2</v>
      </c>
      <c r="D550" s="39">
        <v>4639674</v>
      </c>
      <c r="E550" s="39">
        <v>490160</v>
      </c>
      <c r="F550" s="39">
        <v>25542</v>
      </c>
      <c r="G550" s="6">
        <v>1234</v>
      </c>
      <c r="H550" s="6">
        <v>1094</v>
      </c>
      <c r="I550" s="6">
        <v>1101</v>
      </c>
      <c r="J550" s="6">
        <v>1027</v>
      </c>
      <c r="K550" s="6">
        <v>1084</v>
      </c>
      <c r="L550" s="6">
        <v>1449</v>
      </c>
      <c r="M550" s="6">
        <v>1255</v>
      </c>
      <c r="N550" s="6">
        <v>1163</v>
      </c>
      <c r="O550" s="6">
        <v>1240</v>
      </c>
      <c r="P550" s="6">
        <v>1254</v>
      </c>
      <c r="Q550" s="6">
        <v>1373</v>
      </c>
      <c r="R550" s="6">
        <v>1423</v>
      </c>
      <c r="S550" s="6">
        <v>1064</v>
      </c>
      <c r="T550" s="6">
        <v>1047</v>
      </c>
      <c r="U550" s="6">
        <v>1041</v>
      </c>
      <c r="V550" s="6">
        <v>1302</v>
      </c>
      <c r="W550" s="6">
        <v>1209</v>
      </c>
      <c r="X550" s="6">
        <v>1280</v>
      </c>
      <c r="Y550" s="6">
        <v>1369</v>
      </c>
      <c r="Z550" s="6">
        <v>1286</v>
      </c>
      <c r="AA550" s="6">
        <v>1247</v>
      </c>
    </row>
    <row r="551" spans="1:27" s="5" customFormat="1" x14ac:dyDescent="0.2">
      <c r="B551" s="191"/>
      <c r="C551" s="15" t="s">
        <v>3</v>
      </c>
      <c r="D551" s="39">
        <v>21</v>
      </c>
      <c r="E551" s="39">
        <v>22</v>
      </c>
      <c r="F551" s="39">
        <v>25.4</v>
      </c>
      <c r="G551" s="7">
        <v>23.5</v>
      </c>
      <c r="H551" s="7">
        <v>23.7</v>
      </c>
      <c r="I551" s="7">
        <v>24.1</v>
      </c>
      <c r="J551" s="7">
        <v>22.4</v>
      </c>
      <c r="K551" s="7">
        <v>23.6</v>
      </c>
      <c r="L551" s="7">
        <v>31.1</v>
      </c>
      <c r="M551" s="7">
        <v>25.3</v>
      </c>
      <c r="N551" s="7">
        <v>26.6</v>
      </c>
      <c r="O551" s="7">
        <v>24.3</v>
      </c>
      <c r="P551" s="7">
        <v>25.2</v>
      </c>
      <c r="Q551" s="7">
        <v>29.1</v>
      </c>
      <c r="R551" s="7">
        <v>25.8</v>
      </c>
      <c r="S551" s="7">
        <v>22.2</v>
      </c>
      <c r="T551" s="7">
        <v>21.1</v>
      </c>
      <c r="U551" s="7">
        <v>21.3</v>
      </c>
      <c r="V551" s="7">
        <v>26.5</v>
      </c>
      <c r="W551" s="7">
        <v>26.4</v>
      </c>
      <c r="X551" s="7">
        <v>29.4</v>
      </c>
      <c r="Y551" s="7">
        <v>27.2</v>
      </c>
      <c r="Z551" s="7">
        <v>25.9</v>
      </c>
      <c r="AA551" s="7">
        <v>29</v>
      </c>
    </row>
    <row r="552" spans="1:27" s="115" customFormat="1" x14ac:dyDescent="0.2">
      <c r="A552" s="115" t="s">
        <v>409</v>
      </c>
      <c r="B552" s="188" t="s">
        <v>396</v>
      </c>
      <c r="C552" s="114" t="s">
        <v>2</v>
      </c>
      <c r="D552" s="121">
        <v>38881374</v>
      </c>
      <c r="E552" s="121">
        <v>3875219</v>
      </c>
      <c r="F552" s="121">
        <v>170405</v>
      </c>
      <c r="G552" s="116">
        <v>8577</v>
      </c>
      <c r="H552" s="116">
        <v>8006</v>
      </c>
      <c r="I552" s="116">
        <v>7849</v>
      </c>
      <c r="J552" s="116">
        <v>7923</v>
      </c>
      <c r="K552" s="116">
        <v>7857</v>
      </c>
      <c r="L552" s="116">
        <v>7624</v>
      </c>
      <c r="M552" s="116">
        <v>8729</v>
      </c>
      <c r="N552" s="116">
        <v>7205</v>
      </c>
      <c r="O552" s="116">
        <v>8700</v>
      </c>
      <c r="P552" s="116">
        <v>7961</v>
      </c>
      <c r="Q552" s="116">
        <v>7996</v>
      </c>
      <c r="R552" s="116">
        <v>9573</v>
      </c>
      <c r="S552" s="116">
        <v>8100</v>
      </c>
      <c r="T552" s="116">
        <v>8630</v>
      </c>
      <c r="U552" s="116">
        <v>8422</v>
      </c>
      <c r="V552" s="116">
        <v>8128</v>
      </c>
      <c r="W552" s="116">
        <v>7864</v>
      </c>
      <c r="X552" s="116">
        <v>7294</v>
      </c>
      <c r="Y552" s="116">
        <v>8531</v>
      </c>
      <c r="Z552" s="116">
        <v>8376</v>
      </c>
      <c r="AA552" s="116">
        <v>7060</v>
      </c>
    </row>
    <row r="553" spans="1:27" s="115" customFormat="1" x14ac:dyDescent="0.2">
      <c r="B553" s="188"/>
      <c r="C553" s="114" t="s">
        <v>3</v>
      </c>
      <c r="D553" s="121">
        <v>100</v>
      </c>
      <c r="E553" s="121">
        <v>100</v>
      </c>
      <c r="F553" s="121">
        <v>100</v>
      </c>
      <c r="G553" s="116">
        <v>100</v>
      </c>
      <c r="H553" s="116">
        <v>100</v>
      </c>
      <c r="I553" s="116">
        <v>100</v>
      </c>
      <c r="J553" s="116">
        <v>100</v>
      </c>
      <c r="K553" s="116">
        <v>100</v>
      </c>
      <c r="L553" s="116">
        <v>100</v>
      </c>
      <c r="M553" s="116">
        <v>100</v>
      </c>
      <c r="N553" s="116">
        <v>100</v>
      </c>
      <c r="O553" s="116">
        <v>100</v>
      </c>
      <c r="P553" s="116">
        <v>100</v>
      </c>
      <c r="Q553" s="116">
        <v>100</v>
      </c>
      <c r="R553" s="116">
        <v>100</v>
      </c>
      <c r="S553" s="116">
        <v>100</v>
      </c>
      <c r="T553" s="116">
        <v>100</v>
      </c>
      <c r="U553" s="116">
        <v>100</v>
      </c>
      <c r="V553" s="116">
        <v>100</v>
      </c>
      <c r="W553" s="116">
        <v>100</v>
      </c>
      <c r="X553" s="116">
        <v>100</v>
      </c>
      <c r="Y553" s="116">
        <v>100</v>
      </c>
      <c r="Z553" s="116">
        <v>100</v>
      </c>
      <c r="AA553" s="116">
        <v>100</v>
      </c>
    </row>
    <row r="554" spans="1:27" s="115" customFormat="1" x14ac:dyDescent="0.2">
      <c r="B554" s="188" t="s">
        <v>397</v>
      </c>
      <c r="C554" s="114" t="s">
        <v>2</v>
      </c>
      <c r="D554" s="121">
        <v>1349568</v>
      </c>
      <c r="E554" s="121">
        <v>110962</v>
      </c>
      <c r="F554" s="121">
        <v>3516</v>
      </c>
      <c r="G554" s="116">
        <v>125</v>
      </c>
      <c r="H554" s="116">
        <v>120</v>
      </c>
      <c r="I554" s="116">
        <v>167</v>
      </c>
      <c r="J554" s="116">
        <v>197</v>
      </c>
      <c r="K554" s="116">
        <v>179</v>
      </c>
      <c r="L554" s="116">
        <v>86</v>
      </c>
      <c r="M554" s="116">
        <v>114</v>
      </c>
      <c r="N554" s="116">
        <v>177</v>
      </c>
      <c r="O554" s="116">
        <v>158</v>
      </c>
      <c r="P554" s="116">
        <v>140</v>
      </c>
      <c r="Q554" s="116">
        <v>130</v>
      </c>
      <c r="R554" s="116">
        <v>179</v>
      </c>
      <c r="S554" s="116">
        <v>171</v>
      </c>
      <c r="T554" s="116">
        <v>525</v>
      </c>
      <c r="U554" s="116">
        <v>346</v>
      </c>
      <c r="V554" s="116">
        <v>145</v>
      </c>
      <c r="W554" s="116">
        <v>122</v>
      </c>
      <c r="X554" s="116">
        <v>63</v>
      </c>
      <c r="Y554" s="116">
        <v>132</v>
      </c>
      <c r="Z554" s="116">
        <v>144</v>
      </c>
      <c r="AA554" s="116">
        <v>96</v>
      </c>
    </row>
    <row r="555" spans="1:27" s="115" customFormat="1" x14ac:dyDescent="0.2">
      <c r="B555" s="188"/>
      <c r="C555" s="114" t="s">
        <v>3</v>
      </c>
      <c r="D555" s="122">
        <f>(D554/D552)*100</f>
        <v>3.4709884480934239</v>
      </c>
      <c r="E555" s="122">
        <f t="shared" ref="E555:AA555" si="19">(E554/E552)*100</f>
        <v>2.863373657075897</v>
      </c>
      <c r="F555" s="122">
        <f t="shared" si="19"/>
        <v>2.0633197382705908</v>
      </c>
      <c r="G555" s="117">
        <f t="shared" si="19"/>
        <v>1.4573860324122654</v>
      </c>
      <c r="H555" s="117">
        <f t="shared" si="19"/>
        <v>1.4988758431176619</v>
      </c>
      <c r="I555" s="117">
        <f t="shared" si="19"/>
        <v>2.1276595744680851</v>
      </c>
      <c r="J555" s="117">
        <f t="shared" si="19"/>
        <v>2.4864319071058945</v>
      </c>
      <c r="K555" s="117">
        <f t="shared" si="19"/>
        <v>2.2782232404225531</v>
      </c>
      <c r="L555" s="117">
        <f t="shared" si="19"/>
        <v>1.1280167890870934</v>
      </c>
      <c r="M555" s="117">
        <f t="shared" si="19"/>
        <v>1.3059915225111696</v>
      </c>
      <c r="N555" s="117">
        <f t="shared" si="19"/>
        <v>2.4566273421235256</v>
      </c>
      <c r="O555" s="117">
        <f t="shared" si="19"/>
        <v>1.8160919540229887</v>
      </c>
      <c r="P555" s="117">
        <f t="shared" si="19"/>
        <v>1.7585730435874889</v>
      </c>
      <c r="Q555" s="117">
        <f t="shared" si="19"/>
        <v>1.6258129064532265</v>
      </c>
      <c r="R555" s="117">
        <f t="shared" si="19"/>
        <v>1.8698422647028101</v>
      </c>
      <c r="S555" s="117">
        <f t="shared" si="19"/>
        <v>2.1111111111111112</v>
      </c>
      <c r="T555" s="117">
        <f t="shared" si="19"/>
        <v>6.08342989571263</v>
      </c>
      <c r="U555" s="117">
        <f t="shared" si="19"/>
        <v>4.1082878176205178</v>
      </c>
      <c r="V555" s="117">
        <f t="shared" si="19"/>
        <v>1.7839566929133859</v>
      </c>
      <c r="W555" s="117">
        <f t="shared" si="19"/>
        <v>1.5513733468972533</v>
      </c>
      <c r="X555" s="117">
        <f t="shared" si="19"/>
        <v>0.8637236084452975</v>
      </c>
      <c r="Y555" s="117">
        <f t="shared" si="19"/>
        <v>1.5472980893212989</v>
      </c>
      <c r="Z555" s="117">
        <f t="shared" si="19"/>
        <v>1.7191977077363898</v>
      </c>
      <c r="AA555" s="117">
        <f t="shared" si="19"/>
        <v>1.3597733711048159</v>
      </c>
    </row>
    <row r="556" spans="1:27" s="115" customFormat="1" x14ac:dyDescent="0.2">
      <c r="B556" s="188" t="s">
        <v>398</v>
      </c>
      <c r="C556" s="114" t="s">
        <v>2</v>
      </c>
      <c r="D556" s="121">
        <v>1027625</v>
      </c>
      <c r="E556" s="121">
        <v>10716</v>
      </c>
      <c r="F556" s="121">
        <v>118</v>
      </c>
      <c r="G556" s="116">
        <v>3</v>
      </c>
      <c r="H556" s="116">
        <v>2</v>
      </c>
      <c r="I556" s="116">
        <v>1</v>
      </c>
      <c r="J556" s="116">
        <v>3</v>
      </c>
      <c r="K556" s="116">
        <v>6</v>
      </c>
      <c r="L556" s="116">
        <v>2</v>
      </c>
      <c r="M556" s="116">
        <v>9</v>
      </c>
      <c r="N556" s="116">
        <v>4</v>
      </c>
      <c r="O556" s="116">
        <v>9</v>
      </c>
      <c r="P556" s="116">
        <v>8</v>
      </c>
      <c r="Q556" s="116">
        <v>2</v>
      </c>
      <c r="R556" s="116">
        <v>6</v>
      </c>
      <c r="S556" s="116">
        <v>8</v>
      </c>
      <c r="T556" s="116">
        <v>21</v>
      </c>
      <c r="U556" s="116">
        <v>15</v>
      </c>
      <c r="V556" s="116">
        <v>11</v>
      </c>
      <c r="W556" s="116">
        <v>0</v>
      </c>
      <c r="X556" s="116">
        <v>4</v>
      </c>
      <c r="Y556" s="116">
        <v>1</v>
      </c>
      <c r="Z556" s="116">
        <v>1</v>
      </c>
      <c r="AA556" s="116">
        <v>2</v>
      </c>
    </row>
    <row r="557" spans="1:27" s="115" customFormat="1" x14ac:dyDescent="0.2">
      <c r="B557" s="188"/>
      <c r="C557" s="114" t="s">
        <v>3</v>
      </c>
      <c r="D557" s="122">
        <f>(D556/D552)*100</f>
        <v>2.6429750142060309</v>
      </c>
      <c r="E557" s="122">
        <f t="shared" ref="E557:AA557" si="20">(E556/E552)*100</f>
        <v>0.27652630728740746</v>
      </c>
      <c r="F557" s="122">
        <f t="shared" si="20"/>
        <v>6.924679440157272E-2</v>
      </c>
      <c r="G557" s="117">
        <f t="shared" si="20"/>
        <v>3.4977264777894368E-2</v>
      </c>
      <c r="H557" s="117">
        <f t="shared" si="20"/>
        <v>2.4981264051961029E-2</v>
      </c>
      <c r="I557" s="117">
        <f t="shared" si="20"/>
        <v>1.2740476493820868E-2</v>
      </c>
      <c r="J557" s="117">
        <f t="shared" si="20"/>
        <v>3.7864445285876562E-2</v>
      </c>
      <c r="K557" s="117">
        <f t="shared" si="20"/>
        <v>7.6365024818633068E-2</v>
      </c>
      <c r="L557" s="117">
        <f t="shared" si="20"/>
        <v>2.6232948583420776E-2</v>
      </c>
      <c r="M557" s="117">
        <f t="shared" si="20"/>
        <v>0.10310459388246077</v>
      </c>
      <c r="N557" s="117">
        <f t="shared" si="20"/>
        <v>5.5517002081887583E-2</v>
      </c>
      <c r="O557" s="117">
        <f t="shared" si="20"/>
        <v>0.10344827586206896</v>
      </c>
      <c r="P557" s="117">
        <f t="shared" si="20"/>
        <v>0.10048988820499938</v>
      </c>
      <c r="Q557" s="117">
        <f t="shared" si="20"/>
        <v>2.5012506253126562E-2</v>
      </c>
      <c r="R557" s="117">
        <f t="shared" si="20"/>
        <v>6.2676277029144467E-2</v>
      </c>
      <c r="S557" s="117">
        <f t="shared" si="20"/>
        <v>9.876543209876544E-2</v>
      </c>
      <c r="T557" s="117">
        <f t="shared" si="20"/>
        <v>0.24333719582850522</v>
      </c>
      <c r="U557" s="117">
        <f t="shared" si="20"/>
        <v>0.17810496319164093</v>
      </c>
      <c r="V557" s="117">
        <f t="shared" si="20"/>
        <v>0.13533464566929135</v>
      </c>
      <c r="W557" s="117">
        <f t="shared" si="20"/>
        <v>0</v>
      </c>
      <c r="X557" s="117">
        <f t="shared" si="20"/>
        <v>5.4839594187003016E-2</v>
      </c>
      <c r="Y557" s="117">
        <f t="shared" si="20"/>
        <v>1.1721955222131051E-2</v>
      </c>
      <c r="Z557" s="117">
        <f t="shared" si="20"/>
        <v>1.1938872970391595E-2</v>
      </c>
      <c r="AA557" s="117">
        <f t="shared" si="20"/>
        <v>2.8328611898016994E-2</v>
      </c>
    </row>
    <row r="558" spans="1:27" s="115" customFormat="1" x14ac:dyDescent="0.2">
      <c r="B558" s="188" t="s">
        <v>399</v>
      </c>
      <c r="C558" s="114" t="s">
        <v>2</v>
      </c>
      <c r="D558" s="121">
        <v>1343684</v>
      </c>
      <c r="E558" s="121">
        <v>58307</v>
      </c>
      <c r="F558" s="121">
        <v>2094</v>
      </c>
      <c r="G558" s="116">
        <v>127</v>
      </c>
      <c r="H558" s="116">
        <v>64</v>
      </c>
      <c r="I558" s="116">
        <v>65</v>
      </c>
      <c r="J558" s="116">
        <v>120</v>
      </c>
      <c r="K558" s="116">
        <v>108</v>
      </c>
      <c r="L558" s="116">
        <v>92</v>
      </c>
      <c r="M558" s="116">
        <v>141</v>
      </c>
      <c r="N558" s="116">
        <v>93</v>
      </c>
      <c r="O558" s="116">
        <v>230</v>
      </c>
      <c r="P558" s="116">
        <v>151</v>
      </c>
      <c r="Q558" s="116">
        <v>51</v>
      </c>
      <c r="R558" s="116">
        <v>83</v>
      </c>
      <c r="S558" s="116">
        <v>130</v>
      </c>
      <c r="T558" s="116">
        <v>94</v>
      </c>
      <c r="U558" s="116">
        <v>130</v>
      </c>
      <c r="V558" s="116">
        <v>62</v>
      </c>
      <c r="W558" s="116">
        <v>55</v>
      </c>
      <c r="X558" s="116">
        <v>49</v>
      </c>
      <c r="Y558" s="116">
        <v>62</v>
      </c>
      <c r="Z558" s="116">
        <v>137</v>
      </c>
      <c r="AA558" s="116">
        <v>50</v>
      </c>
    </row>
    <row r="559" spans="1:27" s="115" customFormat="1" x14ac:dyDescent="0.2">
      <c r="B559" s="188"/>
      <c r="C559" s="114" t="s">
        <v>3</v>
      </c>
      <c r="D559" s="122">
        <f>(D558/D552)*100</f>
        <v>3.4558552380376271</v>
      </c>
      <c r="E559" s="122">
        <f t="shared" ref="E559:AA559" si="21">(E558/E552)*100</f>
        <v>1.5046117393623433</v>
      </c>
      <c r="F559" s="122">
        <f t="shared" si="21"/>
        <v>1.2288371820075703</v>
      </c>
      <c r="G559" s="117">
        <f t="shared" si="21"/>
        <v>1.4807042089308615</v>
      </c>
      <c r="H559" s="117">
        <f t="shared" si="21"/>
        <v>0.79940044966275292</v>
      </c>
      <c r="I559" s="117">
        <f t="shared" si="21"/>
        <v>0.82813097209835651</v>
      </c>
      <c r="J559" s="117">
        <f t="shared" si="21"/>
        <v>1.5145778114350625</v>
      </c>
      <c r="K559" s="117">
        <f t="shared" si="21"/>
        <v>1.3745704467353952</v>
      </c>
      <c r="L559" s="117">
        <f t="shared" si="21"/>
        <v>1.2067156348373556</v>
      </c>
      <c r="M559" s="117">
        <f t="shared" si="21"/>
        <v>1.6153053041585521</v>
      </c>
      <c r="N559" s="117">
        <f t="shared" si="21"/>
        <v>1.2907702984038862</v>
      </c>
      <c r="O559" s="117">
        <f t="shared" si="21"/>
        <v>2.6436781609195403</v>
      </c>
      <c r="P559" s="117">
        <f t="shared" si="21"/>
        <v>1.8967466398693633</v>
      </c>
      <c r="Q559" s="117">
        <f t="shared" si="21"/>
        <v>0.63781890945472741</v>
      </c>
      <c r="R559" s="117">
        <f t="shared" si="21"/>
        <v>0.86702183223649842</v>
      </c>
      <c r="S559" s="117">
        <f t="shared" si="21"/>
        <v>1.6049382716049383</v>
      </c>
      <c r="T559" s="117">
        <f t="shared" si="21"/>
        <v>1.0892236384704519</v>
      </c>
      <c r="U559" s="117">
        <f t="shared" si="21"/>
        <v>1.5435763476608881</v>
      </c>
      <c r="V559" s="117">
        <f t="shared" si="21"/>
        <v>0.76279527559055116</v>
      </c>
      <c r="W559" s="117">
        <f t="shared" si="21"/>
        <v>0.6993896236012207</v>
      </c>
      <c r="X559" s="117">
        <f t="shared" si="21"/>
        <v>0.67178502879078694</v>
      </c>
      <c r="Y559" s="117">
        <f t="shared" si="21"/>
        <v>0.72676122377212526</v>
      </c>
      <c r="Z559" s="117">
        <f t="shared" si="21"/>
        <v>1.6356255969436486</v>
      </c>
      <c r="AA559" s="117">
        <f t="shared" si="21"/>
        <v>0.708215297450425</v>
      </c>
    </row>
    <row r="560" spans="1:27" s="115" customFormat="1" x14ac:dyDescent="0.2">
      <c r="B560" s="188" t="s">
        <v>400</v>
      </c>
      <c r="C560" s="114" t="s">
        <v>2</v>
      </c>
      <c r="D560" s="121">
        <v>1886539</v>
      </c>
      <c r="E560" s="121">
        <v>207114</v>
      </c>
      <c r="F560" s="121">
        <v>6570</v>
      </c>
      <c r="G560" s="116">
        <v>407</v>
      </c>
      <c r="H560" s="116">
        <v>371</v>
      </c>
      <c r="I560" s="116">
        <v>269</v>
      </c>
      <c r="J560" s="116">
        <v>234</v>
      </c>
      <c r="K560" s="116">
        <v>225</v>
      </c>
      <c r="L560" s="116">
        <v>281</v>
      </c>
      <c r="M560" s="116">
        <v>320</v>
      </c>
      <c r="N560" s="116">
        <v>233</v>
      </c>
      <c r="O560" s="116">
        <v>331</v>
      </c>
      <c r="P560" s="116">
        <v>339</v>
      </c>
      <c r="Q560" s="116">
        <v>370</v>
      </c>
      <c r="R560" s="116">
        <v>317</v>
      </c>
      <c r="S560" s="116">
        <v>249</v>
      </c>
      <c r="T560" s="116">
        <v>133</v>
      </c>
      <c r="U560" s="116">
        <v>141</v>
      </c>
      <c r="V560" s="116">
        <v>373</v>
      </c>
      <c r="W560" s="116">
        <v>270</v>
      </c>
      <c r="X560" s="116">
        <v>491</v>
      </c>
      <c r="Y560" s="116">
        <v>480</v>
      </c>
      <c r="Z560" s="116">
        <v>398</v>
      </c>
      <c r="AA560" s="116">
        <v>338</v>
      </c>
    </row>
    <row r="561" spans="2:27" s="115" customFormat="1" x14ac:dyDescent="0.2">
      <c r="B561" s="188"/>
      <c r="C561" s="114" t="s">
        <v>3</v>
      </c>
      <c r="D561" s="122">
        <f>(D560/D552)*100</f>
        <v>4.8520378935168287</v>
      </c>
      <c r="E561" s="122">
        <f t="shared" ref="E561:AA561" si="22">(E560/E552)*100</f>
        <v>5.3445753646439078</v>
      </c>
      <c r="F561" s="122">
        <f t="shared" si="22"/>
        <v>3.8555206713418033</v>
      </c>
      <c r="G561" s="117">
        <f t="shared" si="22"/>
        <v>4.7452489215343361</v>
      </c>
      <c r="H561" s="117">
        <f t="shared" si="22"/>
        <v>4.6340244816387708</v>
      </c>
      <c r="I561" s="117">
        <f t="shared" si="22"/>
        <v>3.4271881768378134</v>
      </c>
      <c r="J561" s="117">
        <f t="shared" si="22"/>
        <v>2.953426732298372</v>
      </c>
      <c r="K561" s="117">
        <f t="shared" si="22"/>
        <v>2.86368843069874</v>
      </c>
      <c r="L561" s="117">
        <f t="shared" si="22"/>
        <v>3.6857292759706195</v>
      </c>
      <c r="M561" s="117">
        <f t="shared" si="22"/>
        <v>3.6659411158208268</v>
      </c>
      <c r="N561" s="117">
        <f t="shared" si="22"/>
        <v>3.2338653712699514</v>
      </c>
      <c r="O561" s="117">
        <f t="shared" si="22"/>
        <v>3.804597701149425</v>
      </c>
      <c r="P561" s="117">
        <f t="shared" si="22"/>
        <v>4.2582590126868487</v>
      </c>
      <c r="Q561" s="117">
        <f t="shared" si="22"/>
        <v>4.6273136568284139</v>
      </c>
      <c r="R561" s="117">
        <f t="shared" si="22"/>
        <v>3.3113966363731326</v>
      </c>
      <c r="S561" s="117">
        <f t="shared" si="22"/>
        <v>3.0740740740740744</v>
      </c>
      <c r="T561" s="117">
        <f t="shared" si="22"/>
        <v>1.541135573580533</v>
      </c>
      <c r="U561" s="117">
        <f t="shared" si="22"/>
        <v>1.674186654001425</v>
      </c>
      <c r="V561" s="117">
        <f t="shared" si="22"/>
        <v>4.5890748031496065</v>
      </c>
      <c r="W561" s="117">
        <f t="shared" si="22"/>
        <v>3.4333672431332651</v>
      </c>
      <c r="X561" s="117">
        <f t="shared" si="22"/>
        <v>6.7315601864546197</v>
      </c>
      <c r="Y561" s="117">
        <f t="shared" si="22"/>
        <v>5.6265385066229046</v>
      </c>
      <c r="Z561" s="117">
        <f t="shared" si="22"/>
        <v>4.751671442215855</v>
      </c>
      <c r="AA561" s="117">
        <f t="shared" si="22"/>
        <v>4.7875354107648729</v>
      </c>
    </row>
    <row r="562" spans="2:27" s="115" customFormat="1" x14ac:dyDescent="0.2">
      <c r="B562" s="188" t="s">
        <v>401</v>
      </c>
      <c r="C562" s="114" t="s">
        <v>2</v>
      </c>
      <c r="D562" s="121">
        <v>131465</v>
      </c>
      <c r="E562" s="121">
        <v>16432</v>
      </c>
      <c r="F562" s="121">
        <v>493</v>
      </c>
      <c r="G562" s="116">
        <v>47</v>
      </c>
      <c r="H562" s="116">
        <v>32</v>
      </c>
      <c r="I562" s="116">
        <v>14</v>
      </c>
      <c r="J562" s="116">
        <v>17</v>
      </c>
      <c r="K562" s="116">
        <v>15</v>
      </c>
      <c r="L562" s="116">
        <v>15</v>
      </c>
      <c r="M562" s="116">
        <v>8</v>
      </c>
      <c r="N562" s="116">
        <v>26</v>
      </c>
      <c r="O562" s="116">
        <v>18</v>
      </c>
      <c r="P562" s="116">
        <v>43</v>
      </c>
      <c r="Q562" s="116">
        <v>28</v>
      </c>
      <c r="R562" s="116">
        <v>16</v>
      </c>
      <c r="S562" s="116">
        <v>38</v>
      </c>
      <c r="T562" s="116">
        <v>4</v>
      </c>
      <c r="U562" s="116">
        <v>9</v>
      </c>
      <c r="V562" s="116">
        <v>16</v>
      </c>
      <c r="W562" s="116">
        <v>19</v>
      </c>
      <c r="X562" s="116">
        <v>31</v>
      </c>
      <c r="Y562" s="116">
        <v>41</v>
      </c>
      <c r="Z562" s="116">
        <v>26</v>
      </c>
      <c r="AA562" s="116">
        <v>30</v>
      </c>
    </row>
    <row r="563" spans="2:27" s="115" customFormat="1" x14ac:dyDescent="0.2">
      <c r="B563" s="188"/>
      <c r="C563" s="114" t="s">
        <v>3</v>
      </c>
      <c r="D563" s="122">
        <f>(D562/D552)*100</f>
        <v>0.33811819510287883</v>
      </c>
      <c r="E563" s="122">
        <f t="shared" ref="E563:AA563" si="23">(E562/E552)*100</f>
        <v>0.42402764850192987</v>
      </c>
      <c r="F563" s="122">
        <f t="shared" si="23"/>
        <v>0.2893107596608081</v>
      </c>
      <c r="G563" s="117">
        <f t="shared" si="23"/>
        <v>0.54797714818701182</v>
      </c>
      <c r="H563" s="117">
        <f t="shared" si="23"/>
        <v>0.39970022483137646</v>
      </c>
      <c r="I563" s="117">
        <f t="shared" si="23"/>
        <v>0.17836667091349218</v>
      </c>
      <c r="J563" s="117">
        <f t="shared" si="23"/>
        <v>0.21456518995330051</v>
      </c>
      <c r="K563" s="117">
        <f t="shared" si="23"/>
        <v>0.19091256204658266</v>
      </c>
      <c r="L563" s="117">
        <f t="shared" si="23"/>
        <v>0.19674711437565581</v>
      </c>
      <c r="M563" s="117">
        <f t="shared" si="23"/>
        <v>9.1648527895520679E-2</v>
      </c>
      <c r="N563" s="117">
        <f t="shared" si="23"/>
        <v>0.36086051353226928</v>
      </c>
      <c r="O563" s="117">
        <f t="shared" si="23"/>
        <v>0.20689655172413793</v>
      </c>
      <c r="P563" s="117">
        <f t="shared" si="23"/>
        <v>0.54013314910187171</v>
      </c>
      <c r="Q563" s="117">
        <f t="shared" si="23"/>
        <v>0.35017508754377191</v>
      </c>
      <c r="R563" s="117">
        <f t="shared" si="23"/>
        <v>0.16713673874438525</v>
      </c>
      <c r="S563" s="117">
        <f t="shared" si="23"/>
        <v>0.46913580246913578</v>
      </c>
      <c r="T563" s="117">
        <f t="shared" si="23"/>
        <v>4.6349942062572425E-2</v>
      </c>
      <c r="U563" s="117">
        <f t="shared" si="23"/>
        <v>0.10686297791498457</v>
      </c>
      <c r="V563" s="117">
        <f t="shared" si="23"/>
        <v>0.19685039370078738</v>
      </c>
      <c r="W563" s="117">
        <f t="shared" si="23"/>
        <v>0.24160732451678535</v>
      </c>
      <c r="X563" s="117">
        <f t="shared" si="23"/>
        <v>0.42500685494927337</v>
      </c>
      <c r="Y563" s="117">
        <f t="shared" si="23"/>
        <v>0.48060016410737311</v>
      </c>
      <c r="Z563" s="117">
        <f t="shared" si="23"/>
        <v>0.3104106972301815</v>
      </c>
      <c r="AA563" s="117">
        <f t="shared" si="23"/>
        <v>0.42492917847025502</v>
      </c>
    </row>
    <row r="564" spans="2:27" s="115" customFormat="1" x14ac:dyDescent="0.2">
      <c r="B564" s="188" t="s">
        <v>402</v>
      </c>
      <c r="C564" s="114" t="s">
        <v>2</v>
      </c>
      <c r="D564" s="121">
        <v>206550</v>
      </c>
      <c r="E564" s="121">
        <v>16173</v>
      </c>
      <c r="F564" s="121">
        <v>843</v>
      </c>
      <c r="G564" s="116">
        <v>40</v>
      </c>
      <c r="H564" s="116">
        <v>39</v>
      </c>
      <c r="I564" s="116">
        <v>34</v>
      </c>
      <c r="J564" s="116">
        <v>43</v>
      </c>
      <c r="K564" s="116">
        <v>32</v>
      </c>
      <c r="L564" s="116">
        <v>37</v>
      </c>
      <c r="M564" s="116">
        <v>35</v>
      </c>
      <c r="N564" s="116">
        <v>34</v>
      </c>
      <c r="O564" s="116">
        <v>47</v>
      </c>
      <c r="P564" s="116">
        <v>33</v>
      </c>
      <c r="Q564" s="116">
        <v>46</v>
      </c>
      <c r="R564" s="116">
        <v>50</v>
      </c>
      <c r="S564" s="116">
        <v>27</v>
      </c>
      <c r="T564" s="116">
        <v>32</v>
      </c>
      <c r="U564" s="116">
        <v>44</v>
      </c>
      <c r="V564" s="116">
        <v>41</v>
      </c>
      <c r="W564" s="116">
        <v>57</v>
      </c>
      <c r="X564" s="116">
        <v>51</v>
      </c>
      <c r="Y564" s="116">
        <v>52</v>
      </c>
      <c r="Z564" s="116">
        <v>33</v>
      </c>
      <c r="AA564" s="116">
        <v>36</v>
      </c>
    </row>
    <row r="565" spans="2:27" s="115" customFormat="1" x14ac:dyDescent="0.2">
      <c r="B565" s="188"/>
      <c r="C565" s="114" t="s">
        <v>3</v>
      </c>
      <c r="D565" s="122">
        <f>(D564/D552)*100</f>
        <v>0.53123122655079014</v>
      </c>
      <c r="E565" s="122">
        <f t="shared" ref="E565:AA565" si="24">(E564/E552)*100</f>
        <v>0.41734415525935437</v>
      </c>
      <c r="F565" s="122">
        <f t="shared" si="24"/>
        <v>0.49470379390276104</v>
      </c>
      <c r="G565" s="117">
        <f t="shared" si="24"/>
        <v>0.46636353037192496</v>
      </c>
      <c r="H565" s="117">
        <f t="shared" si="24"/>
        <v>0.48713464901324005</v>
      </c>
      <c r="I565" s="117">
        <f t="shared" si="24"/>
        <v>0.43317620078990959</v>
      </c>
      <c r="J565" s="117">
        <f t="shared" si="24"/>
        <v>0.54272371576423073</v>
      </c>
      <c r="K565" s="117">
        <f t="shared" si="24"/>
        <v>0.40728013236604299</v>
      </c>
      <c r="L565" s="117">
        <f t="shared" si="24"/>
        <v>0.48530954879328436</v>
      </c>
      <c r="M565" s="117">
        <f t="shared" si="24"/>
        <v>0.40096230954290296</v>
      </c>
      <c r="N565" s="117">
        <f t="shared" si="24"/>
        <v>0.4718945176960444</v>
      </c>
      <c r="O565" s="117">
        <f t="shared" si="24"/>
        <v>0.54022988505747127</v>
      </c>
      <c r="P565" s="117">
        <f t="shared" si="24"/>
        <v>0.41452078884562243</v>
      </c>
      <c r="Q565" s="117">
        <f t="shared" si="24"/>
        <v>0.575287643821911</v>
      </c>
      <c r="R565" s="117">
        <f t="shared" si="24"/>
        <v>0.52230230857620397</v>
      </c>
      <c r="S565" s="117">
        <f t="shared" si="24"/>
        <v>0.33333333333333337</v>
      </c>
      <c r="T565" s="117">
        <f t="shared" si="24"/>
        <v>0.3707995365005794</v>
      </c>
      <c r="U565" s="117">
        <f t="shared" si="24"/>
        <v>0.52244122536214677</v>
      </c>
      <c r="V565" s="117">
        <f t="shared" si="24"/>
        <v>0.50442913385826771</v>
      </c>
      <c r="W565" s="117">
        <f t="shared" si="24"/>
        <v>0.72482197355035605</v>
      </c>
      <c r="X565" s="117">
        <f t="shared" si="24"/>
        <v>0.69920482588428845</v>
      </c>
      <c r="Y565" s="117">
        <f t="shared" si="24"/>
        <v>0.60954167155081473</v>
      </c>
      <c r="Z565" s="117">
        <f t="shared" si="24"/>
        <v>0.39398280802292263</v>
      </c>
      <c r="AA565" s="117">
        <f t="shared" si="24"/>
        <v>0.50991501416430596</v>
      </c>
    </row>
    <row r="566" spans="2:27" s="115" customFormat="1" x14ac:dyDescent="0.2">
      <c r="B566" s="188" t="s">
        <v>403</v>
      </c>
      <c r="C566" s="114" t="s">
        <v>2</v>
      </c>
      <c r="D566" s="121">
        <v>14345882</v>
      </c>
      <c r="E566" s="121">
        <v>1490020</v>
      </c>
      <c r="F566" s="121">
        <v>70743</v>
      </c>
      <c r="G566" s="116">
        <v>3165</v>
      </c>
      <c r="H566" s="116">
        <v>3449</v>
      </c>
      <c r="I566" s="116">
        <v>3417</v>
      </c>
      <c r="J566" s="116">
        <v>3922</v>
      </c>
      <c r="K566" s="116">
        <v>3689</v>
      </c>
      <c r="L566" s="116">
        <v>2505</v>
      </c>
      <c r="M566" s="116">
        <v>3508</v>
      </c>
      <c r="N566" s="116">
        <v>3196</v>
      </c>
      <c r="O566" s="116">
        <v>3849</v>
      </c>
      <c r="P566" s="116">
        <v>2703</v>
      </c>
      <c r="Q566" s="116">
        <v>2838</v>
      </c>
      <c r="R566" s="116">
        <v>4013</v>
      </c>
      <c r="S566" s="116">
        <v>3335</v>
      </c>
      <c r="T566" s="116">
        <v>4349</v>
      </c>
      <c r="U566" s="116">
        <v>4249</v>
      </c>
      <c r="V566" s="116">
        <v>3577</v>
      </c>
      <c r="W566" s="116">
        <v>3468</v>
      </c>
      <c r="X566" s="116">
        <v>2333</v>
      </c>
      <c r="Y566" s="116">
        <v>3165</v>
      </c>
      <c r="Z566" s="116">
        <v>3350</v>
      </c>
      <c r="AA566" s="116">
        <v>2663</v>
      </c>
    </row>
    <row r="567" spans="2:27" s="115" customFormat="1" x14ac:dyDescent="0.2">
      <c r="B567" s="188"/>
      <c r="C567" s="114" t="s">
        <v>3</v>
      </c>
      <c r="D567" s="122">
        <f>(D566/D552)*100</f>
        <v>36.896540744676358</v>
      </c>
      <c r="E567" s="122">
        <f t="shared" ref="E567:AA567" si="25">(E566/E552)*100</f>
        <v>38.449955989584069</v>
      </c>
      <c r="F567" s="122">
        <f t="shared" si="25"/>
        <v>41.514626918224231</v>
      </c>
      <c r="G567" s="117">
        <f t="shared" si="25"/>
        <v>36.901014340678557</v>
      </c>
      <c r="H567" s="117">
        <f t="shared" si="25"/>
        <v>43.08018985760679</v>
      </c>
      <c r="I567" s="117">
        <f t="shared" si="25"/>
        <v>43.534208179385907</v>
      </c>
      <c r="J567" s="117">
        <f t="shared" si="25"/>
        <v>49.501451470402621</v>
      </c>
      <c r="K567" s="117">
        <f t="shared" si="25"/>
        <v>46.951762759322897</v>
      </c>
      <c r="L567" s="117">
        <f t="shared" si="25"/>
        <v>32.856768100734527</v>
      </c>
      <c r="M567" s="117">
        <f t="shared" si="25"/>
        <v>40.187879482185821</v>
      </c>
      <c r="N567" s="117">
        <f t="shared" si="25"/>
        <v>44.35808466342818</v>
      </c>
      <c r="O567" s="117">
        <f t="shared" si="25"/>
        <v>44.241379310344826</v>
      </c>
      <c r="P567" s="117">
        <f t="shared" si="25"/>
        <v>33.953020977264167</v>
      </c>
      <c r="Q567" s="117">
        <f t="shared" si="25"/>
        <v>35.492746373186598</v>
      </c>
      <c r="R567" s="117">
        <f t="shared" si="25"/>
        <v>41.919983286326122</v>
      </c>
      <c r="S567" s="117">
        <f t="shared" si="25"/>
        <v>41.172839506172835</v>
      </c>
      <c r="T567" s="117">
        <f t="shared" si="25"/>
        <v>50.393974507531865</v>
      </c>
      <c r="U567" s="117">
        <f t="shared" si="25"/>
        <v>50.451199240085487</v>
      </c>
      <c r="V567" s="117">
        <f t="shared" si="25"/>
        <v>44.008366141732289</v>
      </c>
      <c r="W567" s="117">
        <f t="shared" si="25"/>
        <v>44.09969481180061</v>
      </c>
      <c r="X567" s="117">
        <f t="shared" si="25"/>
        <v>31.98519330956951</v>
      </c>
      <c r="Y567" s="117">
        <f t="shared" si="25"/>
        <v>37.099988278044776</v>
      </c>
      <c r="Z567" s="117">
        <f t="shared" si="25"/>
        <v>39.995224450811847</v>
      </c>
      <c r="AA567" s="117">
        <f t="shared" si="25"/>
        <v>37.71954674220963</v>
      </c>
    </row>
    <row r="568" spans="2:27" s="115" customFormat="1" x14ac:dyDescent="0.2">
      <c r="B568" s="188" t="s">
        <v>404</v>
      </c>
      <c r="C568" s="114" t="s">
        <v>2</v>
      </c>
      <c r="D568" s="121">
        <v>1264553</v>
      </c>
      <c r="E568" s="121">
        <v>155856</v>
      </c>
      <c r="F568" s="121">
        <v>7660</v>
      </c>
      <c r="G568" s="116">
        <v>431</v>
      </c>
      <c r="H568" s="116">
        <v>401</v>
      </c>
      <c r="I568" s="116">
        <v>357</v>
      </c>
      <c r="J568" s="116">
        <v>294</v>
      </c>
      <c r="K568" s="116">
        <v>319</v>
      </c>
      <c r="L568" s="116">
        <v>374</v>
      </c>
      <c r="M568" s="116">
        <v>457</v>
      </c>
      <c r="N568" s="116">
        <v>309</v>
      </c>
      <c r="O568" s="116">
        <v>432</v>
      </c>
      <c r="P568" s="116">
        <v>378</v>
      </c>
      <c r="Q568" s="116">
        <v>356</v>
      </c>
      <c r="R568" s="116">
        <v>440</v>
      </c>
      <c r="S568" s="116">
        <v>365</v>
      </c>
      <c r="T568" s="116">
        <v>240</v>
      </c>
      <c r="U568" s="116">
        <v>294</v>
      </c>
      <c r="V568" s="116">
        <v>388</v>
      </c>
      <c r="W568" s="116">
        <v>353</v>
      </c>
      <c r="X568" s="116">
        <v>340</v>
      </c>
      <c r="Y568" s="116">
        <v>363</v>
      </c>
      <c r="Z568" s="116">
        <v>433</v>
      </c>
      <c r="AA568" s="116">
        <v>336</v>
      </c>
    </row>
    <row r="569" spans="2:27" s="115" customFormat="1" x14ac:dyDescent="0.2">
      <c r="B569" s="188"/>
      <c r="C569" s="114" t="s">
        <v>3</v>
      </c>
      <c r="D569" s="122">
        <f>(D568/D552)*100</f>
        <v>3.2523361957321777</v>
      </c>
      <c r="E569" s="122">
        <f t="shared" ref="E569:AA569" si="26">(E568/E552)*100</f>
        <v>4.0218630224511189</v>
      </c>
      <c r="F569" s="122">
        <f t="shared" si="26"/>
        <v>4.4951732636953148</v>
      </c>
      <c r="G569" s="117">
        <f t="shared" si="26"/>
        <v>5.0250670397574906</v>
      </c>
      <c r="H569" s="117">
        <f t="shared" si="26"/>
        <v>5.0087434424181865</v>
      </c>
      <c r="I569" s="117">
        <f t="shared" si="26"/>
        <v>4.5483501082940503</v>
      </c>
      <c r="J569" s="117">
        <f t="shared" si="26"/>
        <v>3.7107156380159032</v>
      </c>
      <c r="K569" s="117">
        <f t="shared" si="26"/>
        <v>4.0600738195239909</v>
      </c>
      <c r="L569" s="117">
        <f t="shared" si="26"/>
        <v>4.9055613850996851</v>
      </c>
      <c r="M569" s="117">
        <f t="shared" si="26"/>
        <v>5.2354221560316185</v>
      </c>
      <c r="N569" s="117">
        <f t="shared" si="26"/>
        <v>4.2886884108258156</v>
      </c>
      <c r="O569" s="117">
        <f t="shared" si="26"/>
        <v>4.9655172413793105</v>
      </c>
      <c r="P569" s="117">
        <f t="shared" si="26"/>
        <v>4.7481472176862205</v>
      </c>
      <c r="Q569" s="117">
        <f t="shared" si="26"/>
        <v>4.4522261130565282</v>
      </c>
      <c r="R569" s="117">
        <f t="shared" si="26"/>
        <v>4.5962603154705945</v>
      </c>
      <c r="S569" s="117">
        <f t="shared" si="26"/>
        <v>4.5061728395061724</v>
      </c>
      <c r="T569" s="117">
        <f t="shared" si="26"/>
        <v>2.7809965237543453</v>
      </c>
      <c r="U569" s="117">
        <f t="shared" si="26"/>
        <v>3.4908572785561622</v>
      </c>
      <c r="V569" s="117">
        <f t="shared" si="26"/>
        <v>4.7736220472440944</v>
      </c>
      <c r="W569" s="117">
        <f t="shared" si="26"/>
        <v>4.4888097660223805</v>
      </c>
      <c r="X569" s="117">
        <f t="shared" si="26"/>
        <v>4.6613655058952563</v>
      </c>
      <c r="Y569" s="117">
        <f t="shared" si="26"/>
        <v>4.2550697456335715</v>
      </c>
      <c r="Z569" s="117">
        <f t="shared" si="26"/>
        <v>5.1695319961795603</v>
      </c>
      <c r="AA569" s="117">
        <f t="shared" si="26"/>
        <v>4.759206798866856</v>
      </c>
    </row>
    <row r="570" spans="2:27" s="115" customFormat="1" x14ac:dyDescent="0.2">
      <c r="B570" s="188" t="s">
        <v>405</v>
      </c>
      <c r="C570" s="114" t="s">
        <v>2</v>
      </c>
      <c r="D570" s="121">
        <v>742675</v>
      </c>
      <c r="E570" s="121">
        <v>62119</v>
      </c>
      <c r="F570" s="121">
        <v>720</v>
      </c>
      <c r="G570" s="116">
        <v>23</v>
      </c>
      <c r="H570" s="116">
        <v>41</v>
      </c>
      <c r="I570" s="116">
        <v>24</v>
      </c>
      <c r="J570" s="116">
        <v>28</v>
      </c>
      <c r="K570" s="116">
        <v>35</v>
      </c>
      <c r="L570" s="116">
        <v>29</v>
      </c>
      <c r="M570" s="116">
        <v>54</v>
      </c>
      <c r="N570" s="116">
        <v>34</v>
      </c>
      <c r="O570" s="116">
        <v>42</v>
      </c>
      <c r="P570" s="116">
        <v>26</v>
      </c>
      <c r="Q570" s="116">
        <v>39</v>
      </c>
      <c r="R570" s="116">
        <v>37</v>
      </c>
      <c r="S570" s="116">
        <v>32</v>
      </c>
      <c r="T570" s="116">
        <v>34</v>
      </c>
      <c r="U570" s="116">
        <v>44</v>
      </c>
      <c r="V570" s="116">
        <v>24</v>
      </c>
      <c r="W570" s="116">
        <v>43</v>
      </c>
      <c r="X570" s="116">
        <v>49</v>
      </c>
      <c r="Y570" s="116">
        <v>26</v>
      </c>
      <c r="Z570" s="116">
        <v>40</v>
      </c>
      <c r="AA570" s="116">
        <v>16</v>
      </c>
    </row>
    <row r="571" spans="2:27" s="115" customFormat="1" x14ac:dyDescent="0.2">
      <c r="B571" s="188"/>
      <c r="C571" s="114" t="s">
        <v>3</v>
      </c>
      <c r="D571" s="122">
        <f>(D570/D552)*100</f>
        <v>1.9101048229416995</v>
      </c>
      <c r="E571" s="122">
        <f t="shared" ref="E571:AA571" si="27">(E570/E552)*100</f>
        <v>1.6029803734963106</v>
      </c>
      <c r="F571" s="122">
        <f t="shared" si="27"/>
        <v>0.42252281329773184</v>
      </c>
      <c r="G571" s="117">
        <f t="shared" si="27"/>
        <v>0.26815902996385682</v>
      </c>
      <c r="H571" s="117">
        <f t="shared" si="27"/>
        <v>0.5121159130652011</v>
      </c>
      <c r="I571" s="117">
        <f t="shared" si="27"/>
        <v>0.30577143585170086</v>
      </c>
      <c r="J571" s="117">
        <f t="shared" si="27"/>
        <v>0.35340148933484794</v>
      </c>
      <c r="K571" s="117">
        <f t="shared" si="27"/>
        <v>0.44546264477535952</v>
      </c>
      <c r="L571" s="117">
        <f t="shared" si="27"/>
        <v>0.38037775445960126</v>
      </c>
      <c r="M571" s="117">
        <f t="shared" si="27"/>
        <v>0.61862756329476454</v>
      </c>
      <c r="N571" s="117">
        <f t="shared" si="27"/>
        <v>0.4718945176960444</v>
      </c>
      <c r="O571" s="117">
        <f t="shared" si="27"/>
        <v>0.48275862068965519</v>
      </c>
      <c r="P571" s="117">
        <f t="shared" si="27"/>
        <v>0.32659213666624798</v>
      </c>
      <c r="Q571" s="117">
        <f t="shared" si="27"/>
        <v>0.48774387193596797</v>
      </c>
      <c r="R571" s="117">
        <f t="shared" si="27"/>
        <v>0.38650370834639092</v>
      </c>
      <c r="S571" s="117">
        <f t="shared" si="27"/>
        <v>0.39506172839506176</v>
      </c>
      <c r="T571" s="117">
        <f t="shared" si="27"/>
        <v>0.39397450753186558</v>
      </c>
      <c r="U571" s="117">
        <f t="shared" si="27"/>
        <v>0.52244122536214677</v>
      </c>
      <c r="V571" s="117">
        <f t="shared" si="27"/>
        <v>0.29527559055118108</v>
      </c>
      <c r="W571" s="117">
        <f t="shared" si="27"/>
        <v>0.54679552390640895</v>
      </c>
      <c r="X571" s="117">
        <f t="shared" si="27"/>
        <v>0.67178502879078694</v>
      </c>
      <c r="Y571" s="117">
        <f t="shared" si="27"/>
        <v>0.30477083577540737</v>
      </c>
      <c r="Z571" s="117">
        <f t="shared" si="27"/>
        <v>0.47755491881566381</v>
      </c>
      <c r="AA571" s="117">
        <f t="shared" si="27"/>
        <v>0.22662889518413595</v>
      </c>
    </row>
    <row r="572" spans="2:27" s="115" customFormat="1" x14ac:dyDescent="0.2">
      <c r="B572" s="188" t="s">
        <v>406</v>
      </c>
      <c r="C572" s="114" t="s">
        <v>2</v>
      </c>
      <c r="D572" s="121">
        <v>2701453</v>
      </c>
      <c r="E572" s="121">
        <v>285542</v>
      </c>
      <c r="F572" s="121">
        <v>10349</v>
      </c>
      <c r="G572" s="116">
        <v>963</v>
      </c>
      <c r="H572" s="116">
        <v>389</v>
      </c>
      <c r="I572" s="116">
        <v>346</v>
      </c>
      <c r="J572" s="116">
        <v>327</v>
      </c>
      <c r="K572" s="116">
        <v>430</v>
      </c>
      <c r="L572" s="116">
        <v>420</v>
      </c>
      <c r="M572" s="116">
        <v>535</v>
      </c>
      <c r="N572" s="116">
        <v>361</v>
      </c>
      <c r="O572" s="116">
        <v>371</v>
      </c>
      <c r="P572" s="116">
        <v>1123</v>
      </c>
      <c r="Q572" s="116">
        <v>470</v>
      </c>
      <c r="R572" s="116">
        <v>447</v>
      </c>
      <c r="S572" s="116">
        <v>994</v>
      </c>
      <c r="T572" s="116">
        <v>244</v>
      </c>
      <c r="U572" s="116">
        <v>561</v>
      </c>
      <c r="V572" s="116">
        <v>373</v>
      </c>
      <c r="W572" s="116">
        <v>375</v>
      </c>
      <c r="X572" s="116">
        <v>407</v>
      </c>
      <c r="Y572" s="116">
        <v>403</v>
      </c>
      <c r="Z572" s="116">
        <v>505</v>
      </c>
      <c r="AA572" s="116">
        <v>305</v>
      </c>
    </row>
    <row r="573" spans="2:27" s="115" customFormat="1" x14ac:dyDescent="0.2">
      <c r="B573" s="188"/>
      <c r="C573" s="114" t="s">
        <v>3</v>
      </c>
      <c r="D573" s="122">
        <f>(D572/D552)*100</f>
        <v>6.9479360477332923</v>
      </c>
      <c r="E573" s="122">
        <f t="shared" ref="E573:AA573" si="28">(E572/E552)*100</f>
        <v>7.3684093724767559</v>
      </c>
      <c r="F573" s="122">
        <f t="shared" si="28"/>
        <v>6.0731786039142044</v>
      </c>
      <c r="G573" s="117">
        <f t="shared" si="28"/>
        <v>11.227701993704093</v>
      </c>
      <c r="H573" s="117">
        <f t="shared" si="28"/>
        <v>4.8588558581064198</v>
      </c>
      <c r="I573" s="117">
        <f t="shared" si="28"/>
        <v>4.4082048668620208</v>
      </c>
      <c r="J573" s="117">
        <f t="shared" si="28"/>
        <v>4.1272245361605453</v>
      </c>
      <c r="K573" s="117">
        <f t="shared" si="28"/>
        <v>5.4728267786687033</v>
      </c>
      <c r="L573" s="117">
        <f t="shared" si="28"/>
        <v>5.5089192025183626</v>
      </c>
      <c r="M573" s="117">
        <f t="shared" si="28"/>
        <v>6.1289953030129452</v>
      </c>
      <c r="N573" s="117">
        <f t="shared" si="28"/>
        <v>5.0104094378903543</v>
      </c>
      <c r="O573" s="117">
        <f t="shared" si="28"/>
        <v>4.264367816091954</v>
      </c>
      <c r="P573" s="117">
        <f t="shared" si="28"/>
        <v>14.106268056776786</v>
      </c>
      <c r="Q573" s="117">
        <f t="shared" si="28"/>
        <v>5.8779389694847426</v>
      </c>
      <c r="R573" s="117">
        <f t="shared" si="28"/>
        <v>4.6693826386712631</v>
      </c>
      <c r="S573" s="117">
        <f t="shared" si="28"/>
        <v>12.271604938271604</v>
      </c>
      <c r="T573" s="117">
        <f t="shared" si="28"/>
        <v>2.8273464658169178</v>
      </c>
      <c r="U573" s="117">
        <f t="shared" si="28"/>
        <v>6.6611256233673712</v>
      </c>
      <c r="V573" s="117">
        <f t="shared" si="28"/>
        <v>4.5890748031496065</v>
      </c>
      <c r="W573" s="117">
        <f t="shared" si="28"/>
        <v>4.7685656154628688</v>
      </c>
      <c r="X573" s="117">
        <f t="shared" si="28"/>
        <v>5.5799287085275564</v>
      </c>
      <c r="Y573" s="117">
        <f t="shared" si="28"/>
        <v>4.7239479545188141</v>
      </c>
      <c r="Z573" s="117">
        <f t="shared" si="28"/>
        <v>6.0291308500477561</v>
      </c>
      <c r="AA573" s="117">
        <f t="shared" si="28"/>
        <v>4.3201133144475916</v>
      </c>
    </row>
    <row r="574" spans="2:27" s="115" customFormat="1" x14ac:dyDescent="0.2">
      <c r="B574" s="188" t="s">
        <v>407</v>
      </c>
      <c r="C574" s="114" t="s">
        <v>2</v>
      </c>
      <c r="D574" s="121">
        <v>162727</v>
      </c>
      <c r="E574" s="121">
        <v>14833</v>
      </c>
      <c r="F574" s="121">
        <v>473</v>
      </c>
      <c r="G574" s="116">
        <v>25</v>
      </c>
      <c r="H574" s="116">
        <v>33</v>
      </c>
      <c r="I574" s="116">
        <v>19</v>
      </c>
      <c r="J574" s="116">
        <v>11</v>
      </c>
      <c r="K574" s="116">
        <v>24</v>
      </c>
      <c r="L574" s="116">
        <v>20</v>
      </c>
      <c r="M574" s="116">
        <v>29</v>
      </c>
      <c r="N574" s="116">
        <v>20</v>
      </c>
      <c r="O574" s="116">
        <v>29</v>
      </c>
      <c r="P574" s="116">
        <v>24</v>
      </c>
      <c r="Q574" s="116">
        <v>25</v>
      </c>
      <c r="R574" s="116">
        <v>21</v>
      </c>
      <c r="S574" s="116">
        <v>24</v>
      </c>
      <c r="T574" s="116">
        <v>25</v>
      </c>
      <c r="U574" s="116">
        <v>27</v>
      </c>
      <c r="V574" s="116">
        <v>15</v>
      </c>
      <c r="W574" s="116">
        <v>23</v>
      </c>
      <c r="X574" s="116">
        <v>21</v>
      </c>
      <c r="Y574" s="116">
        <v>24</v>
      </c>
      <c r="Z574" s="116">
        <v>23</v>
      </c>
      <c r="AA574" s="116">
        <v>11</v>
      </c>
    </row>
    <row r="575" spans="2:27" s="115" customFormat="1" x14ac:dyDescent="0.2">
      <c r="B575" s="188"/>
      <c r="C575" s="114" t="s">
        <v>3</v>
      </c>
      <c r="D575" s="122">
        <f>(D574/D552)*100</f>
        <v>0.41852173228240336</v>
      </c>
      <c r="E575" s="122">
        <f t="shared" ref="E575:AA575" si="29">(E574/E552)*100</f>
        <v>0.38276546435182118</v>
      </c>
      <c r="F575" s="122">
        <f t="shared" si="29"/>
        <v>0.27757401484698219</v>
      </c>
      <c r="G575" s="117">
        <f t="shared" si="29"/>
        <v>0.29147720648245307</v>
      </c>
      <c r="H575" s="117">
        <f t="shared" si="29"/>
        <v>0.41219085685735696</v>
      </c>
      <c r="I575" s="117">
        <f t="shared" si="29"/>
        <v>0.24206905338259652</v>
      </c>
      <c r="J575" s="117">
        <f t="shared" si="29"/>
        <v>0.1388362993815474</v>
      </c>
      <c r="K575" s="117">
        <f t="shared" si="29"/>
        <v>0.30546009927453227</v>
      </c>
      <c r="L575" s="117">
        <f t="shared" si="29"/>
        <v>0.26232948583420773</v>
      </c>
      <c r="M575" s="117">
        <f t="shared" si="29"/>
        <v>0.33222591362126247</v>
      </c>
      <c r="N575" s="117">
        <f t="shared" si="29"/>
        <v>0.27758501040943789</v>
      </c>
      <c r="O575" s="117">
        <f t="shared" si="29"/>
        <v>0.33333333333333337</v>
      </c>
      <c r="P575" s="117">
        <f t="shared" si="29"/>
        <v>0.30146966461499808</v>
      </c>
      <c r="Q575" s="117">
        <f t="shared" si="29"/>
        <v>0.31265632816408201</v>
      </c>
      <c r="R575" s="117">
        <f t="shared" si="29"/>
        <v>0.21936696960200563</v>
      </c>
      <c r="S575" s="117">
        <f t="shared" si="29"/>
        <v>0.29629629629629628</v>
      </c>
      <c r="T575" s="117">
        <f t="shared" si="29"/>
        <v>0.28968713789107764</v>
      </c>
      <c r="U575" s="117">
        <f t="shared" si="29"/>
        <v>0.32058893374495367</v>
      </c>
      <c r="V575" s="117">
        <f t="shared" si="29"/>
        <v>0.18454724409448819</v>
      </c>
      <c r="W575" s="117">
        <f t="shared" si="29"/>
        <v>0.29247202441505593</v>
      </c>
      <c r="X575" s="117">
        <f t="shared" si="29"/>
        <v>0.28790786948176583</v>
      </c>
      <c r="Y575" s="117">
        <f t="shared" si="29"/>
        <v>0.28132692533114523</v>
      </c>
      <c r="Z575" s="117">
        <f t="shared" si="29"/>
        <v>0.27459407831900667</v>
      </c>
      <c r="AA575" s="117">
        <f t="shared" si="29"/>
        <v>0.15580736543909349</v>
      </c>
    </row>
    <row r="576" spans="2:27" s="115" customFormat="1" x14ac:dyDescent="0.2">
      <c r="B576" s="188" t="s">
        <v>408</v>
      </c>
      <c r="C576" s="114" t="s">
        <v>2</v>
      </c>
      <c r="D576" s="121">
        <v>13718653</v>
      </c>
      <c r="E576" s="121">
        <v>1447145</v>
      </c>
      <c r="F576" s="121">
        <v>66826</v>
      </c>
      <c r="G576" s="116">
        <v>3221</v>
      </c>
      <c r="H576" s="116">
        <v>3065</v>
      </c>
      <c r="I576" s="116">
        <v>3136</v>
      </c>
      <c r="J576" s="116">
        <v>2727</v>
      </c>
      <c r="K576" s="116">
        <v>2795</v>
      </c>
      <c r="L576" s="116">
        <v>3763</v>
      </c>
      <c r="M576" s="116">
        <v>3519</v>
      </c>
      <c r="N576" s="116">
        <v>2718</v>
      </c>
      <c r="O576" s="116">
        <v>3184</v>
      </c>
      <c r="P576" s="116">
        <v>2993</v>
      </c>
      <c r="Q576" s="116">
        <v>3641</v>
      </c>
      <c r="R576" s="116">
        <v>3964</v>
      </c>
      <c r="S576" s="116">
        <v>2727</v>
      </c>
      <c r="T576" s="116">
        <v>2929</v>
      </c>
      <c r="U576" s="116">
        <v>2562</v>
      </c>
      <c r="V576" s="116">
        <v>3103</v>
      </c>
      <c r="W576" s="116">
        <v>3079</v>
      </c>
      <c r="X576" s="116">
        <v>3455</v>
      </c>
      <c r="Y576" s="116">
        <v>3782</v>
      </c>
      <c r="Z576" s="116">
        <v>3286</v>
      </c>
      <c r="AA576" s="116">
        <v>3177</v>
      </c>
    </row>
    <row r="577" spans="2:27" s="120" customFormat="1" x14ac:dyDescent="0.2">
      <c r="B577" s="189"/>
      <c r="C577" s="114" t="s">
        <v>3</v>
      </c>
      <c r="D577" s="118">
        <f>(D576/D552)*100</f>
        <v>35.283354441126491</v>
      </c>
      <c r="E577" s="118">
        <f t="shared" ref="E577:AA577" si="30">(E576/E552)*100</f>
        <v>37.343566905509086</v>
      </c>
      <c r="F577" s="118">
        <f t="shared" si="30"/>
        <v>39.215985446436427</v>
      </c>
      <c r="G577" s="119">
        <f t="shared" si="30"/>
        <v>37.553923283199254</v>
      </c>
      <c r="H577" s="119">
        <f t="shared" si="30"/>
        <v>38.283787159630279</v>
      </c>
      <c r="I577" s="119">
        <f t="shared" si="30"/>
        <v>39.954134284622242</v>
      </c>
      <c r="J577" s="119">
        <f t="shared" si="30"/>
        <v>34.418780764861793</v>
      </c>
      <c r="K577" s="119">
        <f t="shared" si="30"/>
        <v>35.57337406134657</v>
      </c>
      <c r="L577" s="119">
        <f t="shared" si="30"/>
        <v>49.357292759706191</v>
      </c>
      <c r="M577" s="119">
        <f t="shared" si="30"/>
        <v>40.313896208042159</v>
      </c>
      <c r="N577" s="119">
        <f t="shared" si="30"/>
        <v>37.723802914642604</v>
      </c>
      <c r="O577" s="119">
        <f t="shared" si="30"/>
        <v>36.597701149425291</v>
      </c>
      <c r="P577" s="119">
        <f t="shared" si="30"/>
        <v>37.595779424695394</v>
      </c>
      <c r="Q577" s="119">
        <f t="shared" si="30"/>
        <v>45.535267633816908</v>
      </c>
      <c r="R577" s="119">
        <f t="shared" si="30"/>
        <v>41.408127023921452</v>
      </c>
      <c r="S577" s="119">
        <f t="shared" si="30"/>
        <v>33.666666666666664</v>
      </c>
      <c r="T577" s="119">
        <f t="shared" si="30"/>
        <v>33.939745075318655</v>
      </c>
      <c r="U577" s="119">
        <f t="shared" si="30"/>
        <v>30.420327713132274</v>
      </c>
      <c r="V577" s="119">
        <f t="shared" si="30"/>
        <v>38.176673228346459</v>
      </c>
      <c r="W577" s="119">
        <f t="shared" si="30"/>
        <v>39.153102746693797</v>
      </c>
      <c r="X577" s="119">
        <f t="shared" si="30"/>
        <v>47.367699479023855</v>
      </c>
      <c r="Y577" s="119">
        <f t="shared" si="30"/>
        <v>44.332434650099643</v>
      </c>
      <c r="Z577" s="119">
        <f t="shared" si="30"/>
        <v>39.231136580706782</v>
      </c>
      <c r="AA577" s="119">
        <f t="shared" si="30"/>
        <v>45</v>
      </c>
    </row>
    <row r="578" spans="2:27" x14ac:dyDescent="0.2">
      <c r="F578" s="113"/>
      <c r="G578" s="1"/>
      <c r="H578" s="1"/>
      <c r="I578" s="1"/>
      <c r="J578" s="1"/>
      <c r="K578" s="1"/>
      <c r="L578" s="1"/>
      <c r="M578" s="1"/>
      <c r="N578" s="1"/>
      <c r="O578" s="1"/>
      <c r="P578" s="1"/>
      <c r="Q578" s="1"/>
      <c r="R578" s="1"/>
      <c r="S578" s="1"/>
      <c r="T578" s="1"/>
      <c r="U578" s="1"/>
      <c r="V578" s="1"/>
      <c r="W578" s="1"/>
      <c r="X578" s="1"/>
      <c r="Y578" s="1"/>
      <c r="Z578" s="1"/>
      <c r="AA578" s="1"/>
    </row>
    <row r="579" spans="2:27" x14ac:dyDescent="0.2">
      <c r="F579" s="113"/>
      <c r="G579" s="1"/>
      <c r="H579" s="1"/>
      <c r="I579" s="1"/>
      <c r="J579" s="1"/>
      <c r="K579" s="1"/>
      <c r="L579" s="1"/>
      <c r="M579" s="1"/>
      <c r="N579" s="1"/>
      <c r="O579" s="1"/>
      <c r="P579" s="1"/>
      <c r="Q579" s="1"/>
      <c r="R579" s="1"/>
      <c r="S579" s="1"/>
      <c r="T579" s="1"/>
      <c r="U579" s="1"/>
      <c r="V579" s="1"/>
      <c r="W579" s="1"/>
      <c r="X579" s="1"/>
      <c r="Y579" s="1"/>
      <c r="Z579" s="1"/>
      <c r="AA579" s="1"/>
    </row>
    <row r="580" spans="2:27" x14ac:dyDescent="0.2">
      <c r="F580" s="113"/>
      <c r="G580" s="1"/>
      <c r="H580" s="1"/>
      <c r="I580" s="1"/>
      <c r="J580" s="1"/>
      <c r="K580" s="1"/>
      <c r="L580" s="1"/>
      <c r="M580" s="1"/>
      <c r="N580" s="1"/>
      <c r="O580" s="1"/>
      <c r="P580" s="1"/>
      <c r="Q580" s="1"/>
      <c r="R580" s="1"/>
      <c r="S580" s="1"/>
      <c r="T580" s="1"/>
      <c r="U580" s="1"/>
      <c r="V580" s="1"/>
      <c r="W580" s="1"/>
      <c r="X580" s="1"/>
      <c r="Y580" s="1"/>
      <c r="Z580" s="1"/>
      <c r="AA580" s="1"/>
    </row>
    <row r="581" spans="2:27" x14ac:dyDescent="0.2">
      <c r="F581" s="113"/>
      <c r="G581" s="1"/>
      <c r="H581" s="1"/>
      <c r="I581" s="1"/>
      <c r="J581" s="1"/>
      <c r="K581" s="1"/>
      <c r="L581" s="1"/>
      <c r="M581" s="1"/>
      <c r="N581" s="1"/>
      <c r="O581" s="1"/>
      <c r="P581" s="1"/>
      <c r="Q581" s="1"/>
      <c r="R581" s="1"/>
      <c r="S581" s="1"/>
      <c r="T581" s="1"/>
      <c r="U581" s="1"/>
      <c r="V581" s="1"/>
      <c r="W581" s="1"/>
      <c r="X581" s="1"/>
      <c r="Y581" s="1"/>
      <c r="Z581" s="1"/>
      <c r="AA581" s="1"/>
    </row>
    <row r="582" spans="2:27" x14ac:dyDescent="0.2">
      <c r="F582" s="113"/>
      <c r="G582" s="1"/>
      <c r="H582" s="1"/>
      <c r="I582" s="1"/>
      <c r="J582" s="1"/>
      <c r="K582" s="1"/>
      <c r="L582" s="1"/>
      <c r="M582" s="1"/>
      <c r="N582" s="1"/>
      <c r="O582" s="1"/>
      <c r="P582" s="1"/>
      <c r="Q582" s="1"/>
      <c r="R582" s="1"/>
      <c r="S582" s="1"/>
      <c r="T582" s="1"/>
      <c r="U582" s="1"/>
      <c r="V582" s="1"/>
      <c r="W582" s="1"/>
      <c r="X582" s="1"/>
      <c r="Y582" s="1"/>
      <c r="Z582" s="1"/>
      <c r="AA582" s="1"/>
    </row>
    <row r="583" spans="2:27" x14ac:dyDescent="0.2">
      <c r="F583" s="113"/>
      <c r="G583" s="1"/>
      <c r="H583" s="1"/>
      <c r="I583" s="1"/>
      <c r="J583" s="1"/>
      <c r="K583" s="1"/>
      <c r="L583" s="1"/>
      <c r="M583" s="1"/>
      <c r="N583" s="1"/>
      <c r="O583" s="1"/>
      <c r="P583" s="1"/>
      <c r="Q583" s="1"/>
      <c r="R583" s="1"/>
      <c r="S583" s="1"/>
      <c r="T583" s="1"/>
      <c r="U583" s="1"/>
      <c r="V583" s="1"/>
      <c r="W583" s="1"/>
      <c r="X583" s="1"/>
      <c r="Y583" s="1"/>
      <c r="Z583" s="1"/>
      <c r="AA583" s="1"/>
    </row>
    <row r="584" spans="2:27" x14ac:dyDescent="0.2">
      <c r="F584" s="113"/>
      <c r="G584" s="1"/>
      <c r="H584" s="1"/>
      <c r="I584" s="1"/>
      <c r="J584" s="1"/>
      <c r="K584" s="1"/>
      <c r="L584" s="1"/>
      <c r="M584" s="1"/>
      <c r="N584" s="1"/>
      <c r="O584" s="1"/>
      <c r="P584" s="1"/>
      <c r="Q584" s="1"/>
      <c r="R584" s="1"/>
      <c r="S584" s="1"/>
      <c r="T584" s="1"/>
      <c r="U584" s="1"/>
      <c r="V584" s="1"/>
      <c r="W584" s="1"/>
      <c r="X584" s="1"/>
      <c r="Y584" s="1"/>
      <c r="Z584" s="1"/>
      <c r="AA584" s="1"/>
    </row>
    <row r="585" spans="2:27" x14ac:dyDescent="0.2">
      <c r="F585" s="113"/>
      <c r="G585" s="1"/>
      <c r="H585" s="1"/>
      <c r="I585" s="1"/>
      <c r="J585" s="1"/>
      <c r="K585" s="1"/>
      <c r="L585" s="1"/>
      <c r="M585" s="1"/>
      <c r="N585" s="1"/>
      <c r="O585" s="1"/>
      <c r="P585" s="1"/>
      <c r="Q585" s="1"/>
      <c r="R585" s="1"/>
      <c r="S585" s="1"/>
      <c r="T585" s="1"/>
      <c r="U585" s="1"/>
      <c r="V585" s="1"/>
      <c r="W585" s="1"/>
      <c r="X585" s="1"/>
      <c r="Y585" s="1"/>
      <c r="Z585" s="1"/>
      <c r="AA585" s="1"/>
    </row>
    <row r="586" spans="2:27" x14ac:dyDescent="0.2">
      <c r="F586" s="113"/>
      <c r="G586" s="1"/>
      <c r="H586" s="1"/>
      <c r="I586" s="1"/>
      <c r="J586" s="1"/>
      <c r="K586" s="1"/>
      <c r="L586" s="1"/>
      <c r="M586" s="1"/>
      <c r="N586" s="1"/>
      <c r="O586" s="1"/>
      <c r="P586" s="1"/>
      <c r="Q586" s="1"/>
      <c r="R586" s="1"/>
      <c r="S586" s="1"/>
      <c r="T586" s="1"/>
      <c r="U586" s="1"/>
      <c r="V586" s="1"/>
      <c r="W586" s="1"/>
      <c r="X586" s="1"/>
      <c r="Y586" s="1"/>
      <c r="Z586" s="1"/>
      <c r="AA586" s="1"/>
    </row>
    <row r="587" spans="2:27" x14ac:dyDescent="0.2">
      <c r="F587" s="113"/>
      <c r="G587" s="1"/>
      <c r="H587" s="1"/>
      <c r="I587" s="1"/>
      <c r="J587" s="1"/>
      <c r="K587" s="1"/>
      <c r="L587" s="1"/>
      <c r="M587" s="1"/>
      <c r="N587" s="1"/>
      <c r="O587" s="1"/>
      <c r="P587" s="1"/>
      <c r="Q587" s="1"/>
      <c r="R587" s="1"/>
      <c r="S587" s="1"/>
      <c r="T587" s="1"/>
      <c r="U587" s="1"/>
      <c r="V587" s="1"/>
      <c r="W587" s="1"/>
      <c r="X587" s="1"/>
      <c r="Y587" s="1"/>
      <c r="Z587" s="1"/>
      <c r="AA587" s="1"/>
    </row>
    <row r="588" spans="2:27" x14ac:dyDescent="0.2">
      <c r="F588" s="113"/>
      <c r="G588" s="1"/>
      <c r="H588" s="1"/>
      <c r="I588" s="1"/>
      <c r="J588" s="1"/>
      <c r="K588" s="1"/>
      <c r="L588" s="1"/>
      <c r="M588" s="1"/>
      <c r="N588" s="1"/>
      <c r="O588" s="1"/>
      <c r="P588" s="1"/>
      <c r="Q588" s="1"/>
      <c r="R588" s="1"/>
      <c r="S588" s="1"/>
      <c r="T588" s="1"/>
      <c r="U588" s="1"/>
      <c r="V588" s="1"/>
      <c r="W588" s="1"/>
      <c r="X588" s="1"/>
      <c r="Y588" s="1"/>
      <c r="Z588" s="1"/>
      <c r="AA588" s="1"/>
    </row>
    <row r="589" spans="2:27" x14ac:dyDescent="0.2">
      <c r="F589" s="113"/>
      <c r="G589" s="1"/>
      <c r="H589" s="1"/>
      <c r="I589" s="1"/>
      <c r="J589" s="1"/>
      <c r="K589" s="1"/>
      <c r="L589" s="1"/>
      <c r="M589" s="1"/>
      <c r="N589" s="1"/>
      <c r="O589" s="1"/>
      <c r="P589" s="1"/>
      <c r="Q589" s="1"/>
      <c r="R589" s="1"/>
      <c r="S589" s="1"/>
      <c r="T589" s="1"/>
      <c r="U589" s="1"/>
      <c r="V589" s="1"/>
      <c r="W589" s="1"/>
      <c r="X589" s="1"/>
      <c r="Y589" s="1"/>
      <c r="Z589" s="1"/>
      <c r="AA589" s="1"/>
    </row>
    <row r="590" spans="2:27" x14ac:dyDescent="0.2">
      <c r="F590" s="113"/>
      <c r="G590" s="1"/>
      <c r="H590" s="1"/>
      <c r="I590" s="1"/>
      <c r="J590" s="1"/>
      <c r="K590" s="1"/>
      <c r="L590" s="1"/>
      <c r="M590" s="1"/>
      <c r="N590" s="1"/>
      <c r="O590" s="1"/>
      <c r="P590" s="1"/>
      <c r="Q590" s="1"/>
      <c r="R590" s="1"/>
      <c r="S590" s="1"/>
      <c r="T590" s="1"/>
      <c r="U590" s="1"/>
      <c r="V590" s="1"/>
      <c r="W590" s="1"/>
      <c r="X590" s="1"/>
      <c r="Y590" s="1"/>
      <c r="Z590" s="1"/>
      <c r="AA590" s="1"/>
    </row>
    <row r="773" spans="2:27" s="5" customFormat="1" x14ac:dyDescent="0.2">
      <c r="B773" s="190"/>
      <c r="C773" s="15"/>
      <c r="D773" s="39"/>
      <c r="E773" s="39"/>
      <c r="F773" s="39"/>
      <c r="G773" s="6"/>
      <c r="H773" s="6"/>
      <c r="I773" s="6"/>
      <c r="J773" s="6"/>
      <c r="K773" s="6"/>
      <c r="L773" s="6"/>
      <c r="M773" s="6"/>
      <c r="N773" s="6"/>
      <c r="O773" s="6"/>
      <c r="P773" s="6"/>
      <c r="Q773" s="6"/>
      <c r="R773" s="6"/>
      <c r="S773" s="6"/>
      <c r="T773" s="6"/>
      <c r="U773" s="6"/>
      <c r="V773" s="6"/>
      <c r="W773" s="6"/>
      <c r="X773" s="6"/>
      <c r="Y773" s="6"/>
      <c r="Z773" s="6"/>
      <c r="AA773" s="6"/>
    </row>
    <row r="774" spans="2:27" s="5" customFormat="1" x14ac:dyDescent="0.2">
      <c r="B774" s="191"/>
      <c r="C774" s="15"/>
      <c r="D774" s="39"/>
      <c r="E774" s="39"/>
      <c r="F774" s="39"/>
      <c r="G774" s="7"/>
      <c r="H774" s="7"/>
      <c r="I774" s="7"/>
      <c r="J774" s="7"/>
      <c r="K774" s="7"/>
      <c r="L774" s="7"/>
      <c r="M774" s="7"/>
      <c r="N774" s="7"/>
      <c r="O774" s="7"/>
      <c r="P774" s="7"/>
      <c r="Q774" s="7"/>
      <c r="R774" s="7"/>
      <c r="S774" s="7"/>
      <c r="T774" s="7"/>
      <c r="U774" s="7"/>
      <c r="V774" s="7"/>
      <c r="W774" s="7"/>
      <c r="X774" s="7"/>
      <c r="Y774" s="7"/>
      <c r="Z774" s="7"/>
      <c r="AA774" s="7"/>
    </row>
    <row r="775" spans="2:27" s="5" customFormat="1" x14ac:dyDescent="0.2">
      <c r="B775" s="190"/>
      <c r="C775" s="15"/>
      <c r="D775" s="39"/>
      <c r="E775" s="39"/>
      <c r="F775" s="39"/>
      <c r="G775" s="6"/>
      <c r="H775" s="6"/>
      <c r="I775" s="6"/>
      <c r="J775" s="6"/>
      <c r="K775" s="6"/>
      <c r="L775" s="6"/>
      <c r="M775" s="6"/>
      <c r="N775" s="6"/>
      <c r="O775" s="6"/>
      <c r="P775" s="6"/>
      <c r="Q775" s="6"/>
      <c r="R775" s="6"/>
      <c r="S775" s="6"/>
      <c r="T775" s="6"/>
      <c r="U775" s="6"/>
      <c r="V775" s="6"/>
      <c r="W775" s="6"/>
      <c r="X775" s="6"/>
      <c r="Y775" s="6"/>
      <c r="Z775" s="6"/>
      <c r="AA775" s="6"/>
    </row>
    <row r="776" spans="2:27" s="5" customFormat="1" x14ac:dyDescent="0.2">
      <c r="B776" s="191"/>
      <c r="C776" s="15"/>
      <c r="D776" s="39"/>
      <c r="E776" s="39"/>
      <c r="F776" s="39"/>
      <c r="G776" s="7"/>
      <c r="H776" s="7"/>
      <c r="I776" s="7"/>
      <c r="J776" s="7"/>
      <c r="K776" s="7"/>
      <c r="L776" s="7"/>
      <c r="M776" s="7"/>
      <c r="N776" s="7"/>
      <c r="O776" s="7"/>
      <c r="P776" s="7"/>
      <c r="Q776" s="7"/>
      <c r="R776" s="7"/>
      <c r="S776" s="7"/>
      <c r="T776" s="7"/>
      <c r="U776" s="7"/>
      <c r="V776" s="7"/>
      <c r="W776" s="7"/>
      <c r="X776" s="7"/>
      <c r="Y776" s="7"/>
      <c r="Z776" s="7"/>
      <c r="AA776" s="7"/>
    </row>
    <row r="777" spans="2:27" s="5" customFormat="1" x14ac:dyDescent="0.2">
      <c r="B777" s="190"/>
      <c r="C777" s="15"/>
      <c r="D777" s="39"/>
      <c r="E777" s="39"/>
      <c r="F777" s="39"/>
      <c r="G777" s="6"/>
      <c r="H777" s="6"/>
      <c r="I777" s="6"/>
      <c r="J777" s="6"/>
      <c r="K777" s="6"/>
      <c r="L777" s="6"/>
      <c r="M777" s="6"/>
      <c r="N777" s="6"/>
      <c r="O777" s="6"/>
      <c r="P777" s="6"/>
      <c r="Q777" s="6"/>
      <c r="R777" s="6"/>
      <c r="S777" s="6"/>
      <c r="T777" s="6"/>
      <c r="U777" s="6"/>
      <c r="V777" s="6"/>
      <c r="W777" s="6"/>
      <c r="X777" s="6"/>
      <c r="Y777" s="6"/>
      <c r="Z777" s="6"/>
      <c r="AA777" s="6"/>
    </row>
    <row r="778" spans="2:27" s="5" customFormat="1" x14ac:dyDescent="0.2">
      <c r="B778" s="191"/>
      <c r="C778" s="15"/>
      <c r="D778" s="39"/>
      <c r="E778" s="39"/>
      <c r="F778" s="39"/>
      <c r="G778" s="7"/>
      <c r="H778" s="7"/>
      <c r="I778" s="7"/>
      <c r="J778" s="7"/>
      <c r="K778" s="7"/>
      <c r="L778" s="7"/>
      <c r="M778" s="7"/>
      <c r="N778" s="7"/>
      <c r="O778" s="7"/>
      <c r="P778" s="7"/>
      <c r="Q778" s="7"/>
      <c r="R778" s="7"/>
      <c r="S778" s="7"/>
      <c r="T778" s="7"/>
      <c r="U778" s="7"/>
      <c r="V778" s="7"/>
      <c r="W778" s="7"/>
      <c r="X778" s="7"/>
      <c r="Y778" s="7"/>
      <c r="Z778" s="7"/>
      <c r="AA778" s="7"/>
    </row>
    <row r="779" spans="2:27" s="5" customFormat="1" x14ac:dyDescent="0.2">
      <c r="B779" s="190"/>
      <c r="C779" s="15"/>
      <c r="D779" s="39"/>
      <c r="E779" s="39"/>
      <c r="F779" s="39"/>
      <c r="G779" s="6"/>
      <c r="H779" s="6"/>
      <c r="I779" s="6"/>
      <c r="J779" s="6"/>
      <c r="K779" s="6"/>
      <c r="L779" s="6"/>
      <c r="M779" s="6"/>
      <c r="N779" s="6"/>
      <c r="O779" s="6"/>
      <c r="P779" s="6"/>
      <c r="Q779" s="6"/>
      <c r="R779" s="6"/>
      <c r="S779" s="6"/>
      <c r="T779" s="6"/>
      <c r="U779" s="6"/>
      <c r="V779" s="6"/>
      <c r="W779" s="6"/>
      <c r="X779" s="6"/>
      <c r="Y779" s="6"/>
      <c r="Z779" s="6"/>
      <c r="AA779" s="6"/>
    </row>
    <row r="780" spans="2:27" s="5" customFormat="1" x14ac:dyDescent="0.2">
      <c r="B780" s="191"/>
      <c r="C780" s="15"/>
      <c r="D780" s="39"/>
      <c r="E780" s="39"/>
      <c r="F780" s="39"/>
      <c r="G780" s="7"/>
      <c r="H780" s="7"/>
      <c r="I780" s="7"/>
      <c r="J780" s="7"/>
      <c r="K780" s="7"/>
      <c r="L780" s="7"/>
      <c r="M780" s="7"/>
      <c r="N780" s="7"/>
      <c r="O780" s="7"/>
      <c r="P780" s="7"/>
      <c r="Q780" s="7"/>
      <c r="R780" s="7"/>
      <c r="S780" s="7"/>
      <c r="T780" s="7"/>
      <c r="U780" s="7"/>
      <c r="V780" s="7"/>
      <c r="W780" s="7"/>
      <c r="X780" s="7"/>
      <c r="Y780" s="7"/>
      <c r="Z780" s="7"/>
      <c r="AA780" s="7"/>
    </row>
    <row r="781" spans="2:27" s="5" customFormat="1" x14ac:dyDescent="0.2">
      <c r="B781" s="190"/>
      <c r="C781" s="15"/>
      <c r="D781" s="39"/>
      <c r="E781" s="39"/>
      <c r="F781" s="39"/>
      <c r="G781" s="6"/>
      <c r="H781" s="6"/>
      <c r="I781" s="6"/>
      <c r="J781" s="6"/>
      <c r="K781" s="6"/>
      <c r="L781" s="6"/>
      <c r="M781" s="6"/>
      <c r="N781" s="6"/>
      <c r="O781" s="6"/>
      <c r="P781" s="6"/>
      <c r="Q781" s="6"/>
      <c r="R781" s="6"/>
      <c r="S781" s="6"/>
      <c r="T781" s="6"/>
      <c r="U781" s="6"/>
      <c r="V781" s="6"/>
      <c r="W781" s="6"/>
      <c r="X781" s="6"/>
      <c r="Y781" s="6"/>
      <c r="Z781" s="6"/>
      <c r="AA781" s="6"/>
    </row>
    <row r="782" spans="2:27" s="5" customFormat="1" x14ac:dyDescent="0.2">
      <c r="B782" s="191"/>
      <c r="C782" s="15"/>
      <c r="D782" s="39"/>
      <c r="E782" s="39"/>
      <c r="F782" s="39"/>
      <c r="G782" s="7"/>
      <c r="H782" s="7"/>
      <c r="I782" s="7"/>
      <c r="J782" s="7"/>
      <c r="K782" s="7"/>
      <c r="L782" s="7"/>
      <c r="M782" s="7"/>
      <c r="N782" s="7"/>
      <c r="O782" s="7"/>
      <c r="P782" s="7"/>
      <c r="Q782" s="7"/>
      <c r="R782" s="7"/>
      <c r="S782" s="7"/>
      <c r="T782" s="7"/>
      <c r="U782" s="7"/>
      <c r="V782" s="7"/>
      <c r="W782" s="7"/>
      <c r="X782" s="7"/>
      <c r="Y782" s="7"/>
      <c r="Z782" s="7"/>
      <c r="AA782" s="7"/>
    </row>
    <row r="783" spans="2:27" s="5" customFormat="1" x14ac:dyDescent="0.2">
      <c r="B783" s="190"/>
      <c r="C783" s="15"/>
      <c r="D783" s="39"/>
      <c r="E783" s="39"/>
      <c r="F783" s="39"/>
      <c r="G783" s="6"/>
      <c r="H783" s="6"/>
      <c r="I783" s="6"/>
      <c r="J783" s="6"/>
      <c r="K783" s="6"/>
      <c r="L783" s="6"/>
      <c r="M783" s="6"/>
      <c r="N783" s="6"/>
      <c r="O783" s="6"/>
      <c r="P783" s="6"/>
      <c r="Q783" s="6"/>
      <c r="R783" s="6"/>
      <c r="S783" s="6"/>
      <c r="T783" s="6"/>
      <c r="U783" s="6"/>
      <c r="V783" s="6"/>
      <c r="W783" s="6"/>
      <c r="X783" s="6"/>
      <c r="Y783" s="6"/>
      <c r="Z783" s="6"/>
      <c r="AA783" s="6"/>
    </row>
    <row r="784" spans="2:27" s="5" customFormat="1" x14ac:dyDescent="0.2">
      <c r="B784" s="191"/>
      <c r="C784" s="15"/>
      <c r="D784" s="39"/>
      <c r="E784" s="39"/>
      <c r="F784" s="39"/>
      <c r="G784" s="7"/>
      <c r="H784" s="7"/>
      <c r="I784" s="7"/>
      <c r="J784" s="7"/>
      <c r="K784" s="7"/>
      <c r="L784" s="7"/>
      <c r="M784" s="7"/>
      <c r="N784" s="7"/>
      <c r="O784" s="7"/>
      <c r="P784" s="7"/>
      <c r="Q784" s="7"/>
      <c r="R784" s="7"/>
      <c r="S784" s="7"/>
      <c r="T784" s="7"/>
      <c r="U784" s="7"/>
      <c r="V784" s="7"/>
      <c r="W784" s="7"/>
      <c r="X784" s="7"/>
      <c r="Y784" s="7"/>
      <c r="Z784" s="7"/>
      <c r="AA784" s="7"/>
    </row>
    <row r="785" spans="2:27" s="5" customFormat="1" x14ac:dyDescent="0.2">
      <c r="B785" s="190"/>
      <c r="C785" s="15"/>
      <c r="D785" s="39"/>
      <c r="E785" s="39"/>
      <c r="F785" s="39"/>
      <c r="G785" s="6"/>
      <c r="H785" s="6"/>
      <c r="I785" s="6"/>
      <c r="J785" s="6"/>
      <c r="K785" s="6"/>
      <c r="L785" s="6"/>
      <c r="M785" s="6"/>
      <c r="N785" s="6"/>
      <c r="O785" s="6"/>
      <c r="P785" s="6"/>
      <c r="Q785" s="6"/>
      <c r="R785" s="6"/>
      <c r="S785" s="6"/>
      <c r="T785" s="6"/>
      <c r="U785" s="6"/>
      <c r="V785" s="6"/>
      <c r="W785" s="6"/>
      <c r="X785" s="6"/>
      <c r="Y785" s="6"/>
      <c r="Z785" s="6"/>
      <c r="AA785" s="6"/>
    </row>
    <row r="786" spans="2:27" s="5" customFormat="1" x14ac:dyDescent="0.2">
      <c r="B786" s="191"/>
      <c r="C786" s="15"/>
      <c r="D786" s="39"/>
      <c r="E786" s="39"/>
      <c r="F786" s="39"/>
      <c r="G786" s="7"/>
      <c r="H786" s="7"/>
      <c r="I786" s="7"/>
      <c r="J786" s="7"/>
      <c r="K786" s="7"/>
      <c r="L786" s="7"/>
      <c r="M786" s="7"/>
      <c r="N786" s="7"/>
      <c r="O786" s="7"/>
      <c r="P786" s="7"/>
      <c r="Q786" s="7"/>
      <c r="R786" s="7"/>
      <c r="S786" s="7"/>
      <c r="T786" s="7"/>
      <c r="U786" s="7"/>
      <c r="V786" s="7"/>
      <c r="W786" s="7"/>
      <c r="X786" s="7"/>
      <c r="Y786" s="7"/>
      <c r="Z786" s="7"/>
      <c r="AA786" s="7"/>
    </row>
    <row r="787" spans="2:27" s="5" customFormat="1" x14ac:dyDescent="0.2">
      <c r="B787" s="190"/>
      <c r="C787" s="15"/>
      <c r="D787" s="39"/>
      <c r="E787" s="39"/>
      <c r="F787" s="39"/>
      <c r="G787" s="6"/>
      <c r="H787" s="6"/>
      <c r="I787" s="6"/>
      <c r="J787" s="6"/>
      <c r="K787" s="6"/>
      <c r="L787" s="6"/>
      <c r="M787" s="6"/>
      <c r="N787" s="6"/>
      <c r="O787" s="6"/>
      <c r="P787" s="6"/>
      <c r="Q787" s="6"/>
      <c r="R787" s="6"/>
      <c r="S787" s="6"/>
      <c r="T787" s="6"/>
      <c r="U787" s="6"/>
      <c r="V787" s="6"/>
      <c r="W787" s="6"/>
      <c r="X787" s="6"/>
      <c r="Y787" s="6"/>
      <c r="Z787" s="6"/>
      <c r="AA787" s="6"/>
    </row>
    <row r="788" spans="2:27" s="5" customFormat="1" x14ac:dyDescent="0.2">
      <c r="B788" s="191"/>
      <c r="C788" s="15"/>
      <c r="D788" s="39"/>
      <c r="E788" s="39"/>
      <c r="F788" s="39"/>
      <c r="G788" s="7"/>
      <c r="H788" s="7"/>
      <c r="I788" s="7"/>
      <c r="J788" s="7"/>
      <c r="K788" s="7"/>
      <c r="L788" s="7"/>
      <c r="M788" s="7"/>
      <c r="N788" s="7"/>
      <c r="O788" s="7"/>
      <c r="P788" s="7"/>
      <c r="Q788" s="7"/>
      <c r="R788" s="7"/>
      <c r="S788" s="7"/>
      <c r="T788" s="7"/>
      <c r="U788" s="7"/>
      <c r="V788" s="7"/>
      <c r="W788" s="7"/>
      <c r="X788" s="7"/>
      <c r="Y788" s="7"/>
      <c r="Z788" s="7"/>
      <c r="AA788" s="7"/>
    </row>
    <row r="789" spans="2:27" s="5" customFormat="1" x14ac:dyDescent="0.2">
      <c r="B789" s="190"/>
      <c r="C789" s="15"/>
      <c r="D789" s="39"/>
      <c r="E789" s="39"/>
      <c r="F789" s="39"/>
      <c r="G789" s="6"/>
      <c r="H789" s="6"/>
      <c r="I789" s="6"/>
      <c r="J789" s="6"/>
      <c r="K789" s="6"/>
      <c r="L789" s="6"/>
      <c r="M789" s="6"/>
      <c r="N789" s="6"/>
      <c r="O789" s="6"/>
      <c r="P789" s="6"/>
      <c r="Q789" s="6"/>
      <c r="R789" s="6"/>
      <c r="S789" s="6"/>
      <c r="T789" s="6"/>
      <c r="U789" s="6"/>
      <c r="V789" s="6"/>
      <c r="W789" s="6"/>
      <c r="X789" s="6"/>
      <c r="Y789" s="6"/>
      <c r="Z789" s="6"/>
      <c r="AA789" s="6"/>
    </row>
    <row r="790" spans="2:27" s="5" customFormat="1" x14ac:dyDescent="0.2">
      <c r="B790" s="191"/>
      <c r="C790" s="15"/>
      <c r="D790" s="39"/>
      <c r="E790" s="39"/>
      <c r="F790" s="39"/>
      <c r="G790" s="7"/>
      <c r="H790" s="7"/>
      <c r="I790" s="7"/>
      <c r="J790" s="7"/>
      <c r="K790" s="7"/>
      <c r="L790" s="7"/>
      <c r="M790" s="7"/>
      <c r="N790" s="7"/>
      <c r="O790" s="7"/>
      <c r="P790" s="7"/>
      <c r="Q790" s="7"/>
      <c r="R790" s="7"/>
      <c r="S790" s="7"/>
      <c r="T790" s="7"/>
      <c r="U790" s="7"/>
      <c r="V790" s="7"/>
      <c r="W790" s="7"/>
      <c r="X790" s="7"/>
      <c r="Y790" s="7"/>
      <c r="Z790" s="7"/>
      <c r="AA790" s="7"/>
    </row>
  </sheetData>
  <mergeCells count="245">
    <mergeCell ref="B470:B471"/>
    <mergeCell ref="B472:B473"/>
    <mergeCell ref="B474:B475"/>
    <mergeCell ref="B476:B477"/>
    <mergeCell ref="B226:B227"/>
    <mergeCell ref="B216:B217"/>
    <mergeCell ref="B218:B219"/>
    <mergeCell ref="B220:B221"/>
    <mergeCell ref="B222:B223"/>
    <mergeCell ref="B458:B459"/>
    <mergeCell ref="B460:B461"/>
    <mergeCell ref="B462:B463"/>
    <mergeCell ref="B464:B465"/>
    <mergeCell ref="B230:B231"/>
    <mergeCell ref="B232:B233"/>
    <mergeCell ref="B234:B235"/>
    <mergeCell ref="B524:B525"/>
    <mergeCell ref="B526:B527"/>
    <mergeCell ref="B530:B531"/>
    <mergeCell ref="B478:B479"/>
    <mergeCell ref="B492:B493"/>
    <mergeCell ref="B508:B509"/>
    <mergeCell ref="B494:B495"/>
    <mergeCell ref="B496:B497"/>
    <mergeCell ref="B482:B483"/>
    <mergeCell ref="B484:B485"/>
    <mergeCell ref="B486:B487"/>
    <mergeCell ref="B488:B489"/>
    <mergeCell ref="B490:B491"/>
    <mergeCell ref="B528:B529"/>
    <mergeCell ref="B502:B503"/>
    <mergeCell ref="B504:B505"/>
    <mergeCell ref="B506:B507"/>
    <mergeCell ref="B514:B515"/>
    <mergeCell ref="B516:B517"/>
    <mergeCell ref="B510:B511"/>
    <mergeCell ref="B512:B513"/>
    <mergeCell ref="B498:B499"/>
    <mergeCell ref="B500:B501"/>
    <mergeCell ref="B480:B481"/>
    <mergeCell ref="B789:B790"/>
    <mergeCell ref="B444:B445"/>
    <mergeCell ref="B446:B447"/>
    <mergeCell ref="B448:B449"/>
    <mergeCell ref="B450:B451"/>
    <mergeCell ref="B452:B453"/>
    <mergeCell ref="B454:B455"/>
    <mergeCell ref="B456:B457"/>
    <mergeCell ref="B773:B774"/>
    <mergeCell ref="B775:B776"/>
    <mergeCell ref="B466:B467"/>
    <mergeCell ref="B468:B469"/>
    <mergeCell ref="B785:B786"/>
    <mergeCell ref="B787:B788"/>
    <mergeCell ref="B777:B778"/>
    <mergeCell ref="B779:B780"/>
    <mergeCell ref="B781:B782"/>
    <mergeCell ref="B783:B784"/>
    <mergeCell ref="B534:B535"/>
    <mergeCell ref="B548:B549"/>
    <mergeCell ref="B532:B533"/>
    <mergeCell ref="B518:B519"/>
    <mergeCell ref="B520:B521"/>
    <mergeCell ref="B522:B523"/>
    <mergeCell ref="B276:B277"/>
    <mergeCell ref="B278:B279"/>
    <mergeCell ref="B280:B281"/>
    <mergeCell ref="B392:B393"/>
    <mergeCell ref="B394:B395"/>
    <mergeCell ref="B396:B397"/>
    <mergeCell ref="B236:B237"/>
    <mergeCell ref="B238:B239"/>
    <mergeCell ref="B240:B241"/>
    <mergeCell ref="B242:B243"/>
    <mergeCell ref="B384:B385"/>
    <mergeCell ref="B386:B387"/>
    <mergeCell ref="B390:B391"/>
    <mergeCell ref="B364:B365"/>
    <mergeCell ref="B380:B381"/>
    <mergeCell ref="B366:B367"/>
    <mergeCell ref="B368:B369"/>
    <mergeCell ref="B370:B371"/>
    <mergeCell ref="B372:B373"/>
    <mergeCell ref="B388:B389"/>
    <mergeCell ref="B382:B383"/>
    <mergeCell ref="B340:B341"/>
    <mergeCell ref="B342:B343"/>
    <mergeCell ref="B344:B345"/>
    <mergeCell ref="B374:B375"/>
    <mergeCell ref="B376:B377"/>
    <mergeCell ref="B378:B379"/>
    <mergeCell ref="B350:B351"/>
    <mergeCell ref="B352:B353"/>
    <mergeCell ref="B354:B355"/>
    <mergeCell ref="B358:B359"/>
    <mergeCell ref="B360:B361"/>
    <mergeCell ref="B178:B179"/>
    <mergeCell ref="B362:B363"/>
    <mergeCell ref="B328:B329"/>
    <mergeCell ref="B346:B347"/>
    <mergeCell ref="B348:B349"/>
    <mergeCell ref="B326:B327"/>
    <mergeCell ref="B204:B205"/>
    <mergeCell ref="B252:B253"/>
    <mergeCell ref="B268:B269"/>
    <mergeCell ref="B270:B271"/>
    <mergeCell ref="B322:B323"/>
    <mergeCell ref="B324:B325"/>
    <mergeCell ref="B272:B273"/>
    <mergeCell ref="B316:B317"/>
    <mergeCell ref="B318:B319"/>
    <mergeCell ref="B320:B321"/>
    <mergeCell ref="B338:B339"/>
    <mergeCell ref="B330:B331"/>
    <mergeCell ref="B332:B333"/>
    <mergeCell ref="B334:B335"/>
    <mergeCell ref="B274:B275"/>
    <mergeCell ref="B198:B199"/>
    <mergeCell ref="B200:B201"/>
    <mergeCell ref="B202:B203"/>
    <mergeCell ref="B244:B245"/>
    <mergeCell ref="B246:B247"/>
    <mergeCell ref="B206:B207"/>
    <mergeCell ref="B208:B209"/>
    <mergeCell ref="B210:B211"/>
    <mergeCell ref="B212:B213"/>
    <mergeCell ref="B224:B225"/>
    <mergeCell ref="B228:B229"/>
    <mergeCell ref="B214:B215"/>
    <mergeCell ref="B196:B197"/>
    <mergeCell ref="B190:B191"/>
    <mergeCell ref="B182:B183"/>
    <mergeCell ref="B142:B143"/>
    <mergeCell ref="B144:B145"/>
    <mergeCell ref="B150:B151"/>
    <mergeCell ref="B152:B153"/>
    <mergeCell ref="B146:B147"/>
    <mergeCell ref="B148:B149"/>
    <mergeCell ref="B194:B195"/>
    <mergeCell ref="B118:B119"/>
    <mergeCell ref="B120:B121"/>
    <mergeCell ref="B126:B127"/>
    <mergeCell ref="B128:B129"/>
    <mergeCell ref="B130:B131"/>
    <mergeCell ref="B132:B133"/>
    <mergeCell ref="B134:B135"/>
    <mergeCell ref="B140:B141"/>
    <mergeCell ref="B192:B193"/>
    <mergeCell ref="B184:B185"/>
    <mergeCell ref="B156:B157"/>
    <mergeCell ref="B136:B137"/>
    <mergeCell ref="B138:B139"/>
    <mergeCell ref="B160:B161"/>
    <mergeCell ref="B162:B163"/>
    <mergeCell ref="B180:B181"/>
    <mergeCell ref="B186:B187"/>
    <mergeCell ref="B158:B159"/>
    <mergeCell ref="B188:B189"/>
    <mergeCell ref="B2:B3"/>
    <mergeCell ref="B4:B5"/>
    <mergeCell ref="B6:B7"/>
    <mergeCell ref="B8:B9"/>
    <mergeCell ref="B86:B87"/>
    <mergeCell ref="B72:B73"/>
    <mergeCell ref="B74:B75"/>
    <mergeCell ref="B76:B77"/>
    <mergeCell ref="B78:B79"/>
    <mergeCell ref="B10:B11"/>
    <mergeCell ref="B154:B155"/>
    <mergeCell ref="B80:B81"/>
    <mergeCell ref="B70:B71"/>
    <mergeCell ref="B66:B67"/>
    <mergeCell ref="B88:B89"/>
    <mergeCell ref="B84:B85"/>
    <mergeCell ref="B68:B69"/>
    <mergeCell ref="B110:B111"/>
    <mergeCell ref="B82:B83"/>
    <mergeCell ref="B106:B107"/>
    <mergeCell ref="B98:B99"/>
    <mergeCell ref="B100:B101"/>
    <mergeCell ref="B102:B103"/>
    <mergeCell ref="B104:B105"/>
    <mergeCell ref="B90:B91"/>
    <mergeCell ref="B92:B93"/>
    <mergeCell ref="B94:B95"/>
    <mergeCell ref="B96:B97"/>
    <mergeCell ref="B108:B109"/>
    <mergeCell ref="B122:B123"/>
    <mergeCell ref="B124:B125"/>
    <mergeCell ref="B112:B113"/>
    <mergeCell ref="B114:B115"/>
    <mergeCell ref="B116:B117"/>
    <mergeCell ref="B15:B16"/>
    <mergeCell ref="B17:B18"/>
    <mergeCell ref="B19:B20"/>
    <mergeCell ref="B64:B65"/>
    <mergeCell ref="B23:B24"/>
    <mergeCell ref="B25:B26"/>
    <mergeCell ref="B27:B28"/>
    <mergeCell ref="B29:B30"/>
    <mergeCell ref="B37:B38"/>
    <mergeCell ref="B41:B42"/>
    <mergeCell ref="B43:B44"/>
    <mergeCell ref="B45:B46"/>
    <mergeCell ref="B31:B32"/>
    <mergeCell ref="B39:B40"/>
    <mergeCell ref="B21:B22"/>
    <mergeCell ref="B33:B34"/>
    <mergeCell ref="B35:B36"/>
    <mergeCell ref="B552:B553"/>
    <mergeCell ref="B550:B551"/>
    <mergeCell ref="B540:B541"/>
    <mergeCell ref="B542:B543"/>
    <mergeCell ref="B544:B545"/>
    <mergeCell ref="B546:B547"/>
    <mergeCell ref="B250:B251"/>
    <mergeCell ref="B248:B249"/>
    <mergeCell ref="B536:B537"/>
    <mergeCell ref="B538:B539"/>
    <mergeCell ref="B258:B259"/>
    <mergeCell ref="B260:B261"/>
    <mergeCell ref="B264:B265"/>
    <mergeCell ref="B266:B267"/>
    <mergeCell ref="B262:B263"/>
    <mergeCell ref="B256:B257"/>
    <mergeCell ref="B254:B255"/>
    <mergeCell ref="B336:B337"/>
    <mergeCell ref="B356:B357"/>
    <mergeCell ref="B282:B283"/>
    <mergeCell ref="B284:B285"/>
    <mergeCell ref="B286:B287"/>
    <mergeCell ref="B288:B289"/>
    <mergeCell ref="B290:B291"/>
    <mergeCell ref="B576:B577"/>
    <mergeCell ref="B564:B565"/>
    <mergeCell ref="B566:B567"/>
    <mergeCell ref="B568:B569"/>
    <mergeCell ref="B570:B571"/>
    <mergeCell ref="B574:B575"/>
    <mergeCell ref="B554:B555"/>
    <mergeCell ref="B556:B557"/>
    <mergeCell ref="B558:B559"/>
    <mergeCell ref="B572:B573"/>
    <mergeCell ref="B560:B561"/>
    <mergeCell ref="B562:B563"/>
  </mergeCells>
  <phoneticPr fontId="1"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28"/>
  <sheetViews>
    <sheetView tabSelected="1" defaultGridColor="0" topLeftCell="A2" colorId="23" workbookViewId="0">
      <selection activeCell="B313" sqref="B313:K313"/>
    </sheetView>
  </sheetViews>
  <sheetFormatPr defaultColWidth="0" defaultRowHeight="12.75" zeroHeight="1" x14ac:dyDescent="0.2"/>
  <cols>
    <col min="1" max="1" width="17.85546875" style="26" customWidth="1"/>
    <col min="2" max="2" width="61.140625" style="5" customWidth="1"/>
    <col min="3" max="3" width="8.5703125" style="5" hidden="1" customWidth="1"/>
    <col min="4" max="4" width="31.42578125" style="5" customWidth="1"/>
    <col min="5" max="5" width="5.7109375" style="5" customWidth="1"/>
    <col min="6" max="6" width="9.85546875" style="5" hidden="1" customWidth="1"/>
    <col min="7" max="7" width="6.140625" style="48" hidden="1" customWidth="1"/>
    <col min="8" max="8" width="9.140625" style="5" hidden="1" customWidth="1"/>
    <col min="9" max="9" width="5.7109375" style="5" hidden="1" customWidth="1"/>
    <col min="10" max="10" width="8.140625" style="55" hidden="1" customWidth="1"/>
    <col min="11" max="11" width="8.140625" style="21" hidden="1" customWidth="1"/>
    <col min="12" max="12" width="16.5703125" style="54" hidden="1" customWidth="1"/>
    <col min="13" max="16384" width="16.5703125" style="5" hidden="1"/>
  </cols>
  <sheetData>
    <row r="1" spans="1:15" ht="13.5" hidden="1" thickBot="1" x14ac:dyDescent="0.25"/>
    <row r="2" spans="1:15" ht="225.75" customHeight="1" thickBot="1" x14ac:dyDescent="0.25">
      <c r="A2" s="184" t="s">
        <v>332</v>
      </c>
      <c r="B2" s="185" t="s">
        <v>390</v>
      </c>
    </row>
    <row r="3" spans="1:15" s="25" customFormat="1" ht="18" hidden="1" x14ac:dyDescent="0.25">
      <c r="A3" s="198" t="s">
        <v>319</v>
      </c>
      <c r="B3" s="199"/>
      <c r="C3" s="78"/>
      <c r="D3" s="200" t="s">
        <v>320</v>
      </c>
      <c r="E3" s="201"/>
      <c r="F3" s="201"/>
      <c r="G3" s="201"/>
      <c r="H3" s="201"/>
      <c r="I3" s="201"/>
      <c r="J3" s="201"/>
      <c r="K3" s="201"/>
      <c r="L3" s="46"/>
    </row>
    <row r="4" spans="1:15" s="36" customFormat="1" hidden="1" x14ac:dyDescent="0.2">
      <c r="A4" s="33"/>
      <c r="B4" s="33"/>
      <c r="C4" s="79"/>
      <c r="D4" s="33" t="s">
        <v>58</v>
      </c>
      <c r="E4" s="34"/>
      <c r="F4" s="79" t="s">
        <v>321</v>
      </c>
      <c r="G4" s="49"/>
      <c r="H4" s="98" t="s">
        <v>322</v>
      </c>
      <c r="I4" s="34"/>
      <c r="J4" s="57" t="str">
        <f>B2</f>
        <v>Penistone West Ward</v>
      </c>
      <c r="K4" s="35"/>
      <c r="L4" s="56"/>
    </row>
    <row r="5" spans="1:15" hidden="1" x14ac:dyDescent="0.2">
      <c r="A5" s="51"/>
      <c r="B5" s="52"/>
      <c r="C5" s="80"/>
      <c r="D5" s="19" t="s">
        <v>323</v>
      </c>
      <c r="E5" s="19" t="s">
        <v>3</v>
      </c>
      <c r="F5" s="94" t="s">
        <v>323</v>
      </c>
      <c r="G5" s="50" t="s">
        <v>3</v>
      </c>
      <c r="H5" s="94" t="s">
        <v>323</v>
      </c>
      <c r="I5" s="19" t="s">
        <v>3</v>
      </c>
      <c r="J5" s="102" t="s">
        <v>323</v>
      </c>
      <c r="K5" s="22" t="s">
        <v>3</v>
      </c>
      <c r="L5" s="58"/>
    </row>
    <row r="6" spans="1:15" hidden="1" x14ac:dyDescent="0.2">
      <c r="A6" s="32" t="s">
        <v>373</v>
      </c>
      <c r="B6" s="81" t="s">
        <v>333</v>
      </c>
      <c r="C6" s="62"/>
      <c r="D6" s="63">
        <f>'WARD DATA'!D2</f>
        <v>53012456</v>
      </c>
      <c r="E6" s="95">
        <f>'WARD DATA'!D3</f>
        <v>100</v>
      </c>
      <c r="F6" s="63">
        <f>'WARD DATA'!E2</f>
        <v>5283733</v>
      </c>
      <c r="G6" s="99">
        <f>'WARD DATA'!E3</f>
        <v>100</v>
      </c>
      <c r="H6" s="64">
        <f>'WARD DATA'!F2</f>
        <v>231221</v>
      </c>
      <c r="I6" s="95">
        <f>'WARD DATA'!F3</f>
        <v>100</v>
      </c>
      <c r="J6" s="109">
        <f>HLOOKUP(B2,'WARD DATA'!$A1:$AA533,2,1)</f>
        <v>11322</v>
      </c>
      <c r="K6" s="65">
        <f>HLOOKUP($B$2,'WARD DATA'!$A1:$AA533,3,1)</f>
        <v>100</v>
      </c>
      <c r="L6" s="59"/>
      <c r="M6" s="5" t="s">
        <v>375</v>
      </c>
      <c r="O6" s="4"/>
    </row>
    <row r="7" spans="1:15" hidden="1" x14ac:dyDescent="0.2">
      <c r="A7" s="28" t="s">
        <v>374</v>
      </c>
      <c r="B7" s="82" t="s">
        <v>324</v>
      </c>
      <c r="C7" s="66"/>
      <c r="D7" s="67">
        <f>'WARD DATA'!D4</f>
        <v>26069148</v>
      </c>
      <c r="E7" s="96">
        <f>'WARD DATA'!D5</f>
        <v>49.2</v>
      </c>
      <c r="F7" s="67">
        <f>'WARD DATA'!E4</f>
        <v>2598078</v>
      </c>
      <c r="G7" s="100">
        <f>'WARD DATA'!E5</f>
        <v>49.2</v>
      </c>
      <c r="H7" s="68">
        <f>'WARD DATA'!F4</f>
        <v>113634</v>
      </c>
      <c r="I7" s="96">
        <f>'WARD DATA'!F5</f>
        <v>49.1</v>
      </c>
      <c r="J7" s="110">
        <f>HLOOKUP(B2,'WARD DATA'!$A1:$AA533,4,1)</f>
        <v>5608</v>
      </c>
      <c r="K7" s="69">
        <f>HLOOKUP($B$2,'WARD DATA'!$A1:$AA533,5,1)</f>
        <v>49.5</v>
      </c>
      <c r="L7" s="60"/>
      <c r="M7" s="5" t="s">
        <v>376</v>
      </c>
      <c r="O7" s="4"/>
    </row>
    <row r="8" spans="1:15" hidden="1" x14ac:dyDescent="0.2">
      <c r="A8" s="28"/>
      <c r="B8" s="82" t="s">
        <v>325</v>
      </c>
      <c r="C8" s="66"/>
      <c r="D8" s="67">
        <f>'WARD DATA'!D6</f>
        <v>26943308</v>
      </c>
      <c r="E8" s="96">
        <f>'WARD DATA'!D7</f>
        <v>50.8</v>
      </c>
      <c r="F8" s="67">
        <f>'WARD DATA'!E6</f>
        <v>2685655</v>
      </c>
      <c r="G8" s="100">
        <f>'WARD DATA'!E7</f>
        <v>50.8</v>
      </c>
      <c r="H8" s="68">
        <f>'WARD DATA'!F6</f>
        <v>117587</v>
      </c>
      <c r="I8" s="96">
        <f>'WARD DATA'!F7</f>
        <v>50.9</v>
      </c>
      <c r="J8" s="110">
        <f>HLOOKUP(B2,'WARD DATA'!$A1:$AA533,6,1)</f>
        <v>5714</v>
      </c>
      <c r="K8" s="69">
        <f>HLOOKUP($B$2,'WARD DATA'!$A1:$AA533,7,1)</f>
        <v>50.5</v>
      </c>
      <c r="L8" s="61"/>
      <c r="M8" s="5" t="s">
        <v>377</v>
      </c>
      <c r="O8" s="4"/>
    </row>
    <row r="9" spans="1:15" hidden="1" x14ac:dyDescent="0.2">
      <c r="A9" s="28"/>
      <c r="B9" s="83" t="s">
        <v>335</v>
      </c>
      <c r="C9" s="66"/>
      <c r="D9" s="67">
        <f>'WARD DATA'!D8</f>
        <v>52059931</v>
      </c>
      <c r="E9" s="96">
        <f>'WARD DATA'!D9</f>
        <v>98.2</v>
      </c>
      <c r="F9" s="67">
        <f>'WARD DATA'!E8</f>
        <v>5185677</v>
      </c>
      <c r="G9" s="100">
        <f>'WARD DATA'!E9</f>
        <v>98.1</v>
      </c>
      <c r="H9" s="68">
        <f>'WARD DATA'!F8</f>
        <v>229539</v>
      </c>
      <c r="I9" s="96">
        <f>'WARD DATA'!F9</f>
        <v>99.3</v>
      </c>
      <c r="J9" s="110">
        <f>HLOOKUP(B2,'WARD DATA'!$A1:$AA533,8,1)</f>
        <v>11306</v>
      </c>
      <c r="K9" s="69">
        <f>HLOOKUP($B$2,'WARD DATA'!$A1:$AA533,9,1)</f>
        <v>99.9</v>
      </c>
      <c r="L9" s="61"/>
      <c r="M9" s="5" t="s">
        <v>378</v>
      </c>
      <c r="O9" s="4"/>
    </row>
    <row r="10" spans="1:15" hidden="1" x14ac:dyDescent="0.2">
      <c r="A10" s="28"/>
      <c r="B10" s="83" t="s">
        <v>336</v>
      </c>
      <c r="C10" s="66"/>
      <c r="D10" s="67">
        <f>'WARD DATA'!D10</f>
        <v>952525</v>
      </c>
      <c r="E10" s="96">
        <f>'WARD DATA'!D11</f>
        <v>1.8</v>
      </c>
      <c r="F10" s="67">
        <f>'WARD DATA'!E10</f>
        <v>98056</v>
      </c>
      <c r="G10" s="100">
        <f>'WARD DATA'!E11</f>
        <v>1.9</v>
      </c>
      <c r="H10" s="68">
        <f>'WARD DATA'!F10</f>
        <v>1682</v>
      </c>
      <c r="I10" s="96">
        <f>'WARD DATA'!F11</f>
        <v>0.7</v>
      </c>
      <c r="J10" s="110">
        <f>HLOOKUP($B$2,'WARD DATA'!$A$1:$AA$533,10,1)</f>
        <v>16</v>
      </c>
      <c r="K10" s="69">
        <f>HLOOKUP($B$2,'WARD DATA'!$A$1:$AA$533,11,1)</f>
        <v>0.1</v>
      </c>
      <c r="L10" s="61"/>
      <c r="M10" s="5" t="s">
        <v>379</v>
      </c>
      <c r="O10" s="4"/>
    </row>
    <row r="11" spans="1:15" ht="25.5" hidden="1" x14ac:dyDescent="0.2">
      <c r="A11" s="28"/>
      <c r="B11" s="84" t="s">
        <v>315</v>
      </c>
      <c r="C11" s="66"/>
      <c r="D11" s="67">
        <f>'WARD DATA'!D12</f>
        <v>650145</v>
      </c>
      <c r="E11" s="96" t="s">
        <v>348</v>
      </c>
      <c r="F11" s="67">
        <f>'WARD DATA'!E12</f>
        <v>54976</v>
      </c>
      <c r="G11" s="100" t="s">
        <v>348</v>
      </c>
      <c r="H11" s="68">
        <f>'WARD DATA'!F12</f>
        <v>1681</v>
      </c>
      <c r="I11" s="96" t="s">
        <v>348</v>
      </c>
      <c r="J11" s="110">
        <f>HLOOKUP($B$2,'WARD DATA'!$A$1:$AA$533,12,1)</f>
        <v>147</v>
      </c>
      <c r="K11" s="69" t="s">
        <v>348</v>
      </c>
      <c r="L11" s="61"/>
      <c r="M11" s="5" t="s">
        <v>380</v>
      </c>
      <c r="O11" s="4"/>
    </row>
    <row r="12" spans="1:15" hidden="1" x14ac:dyDescent="0.2">
      <c r="A12" s="28"/>
      <c r="B12" s="84" t="s">
        <v>316</v>
      </c>
      <c r="C12" s="66"/>
      <c r="D12" s="67">
        <f>'WARD DATA'!D13</f>
        <v>13027842.85</v>
      </c>
      <c r="E12" s="96" t="s">
        <v>348</v>
      </c>
      <c r="F12" s="67">
        <f>'WARD DATA'!E13</f>
        <v>1540763.62</v>
      </c>
      <c r="G12" s="100" t="s">
        <v>348</v>
      </c>
      <c r="H12" s="68">
        <f>'WARD DATA'!F13</f>
        <v>32905.31</v>
      </c>
      <c r="I12" s="96" t="s">
        <v>348</v>
      </c>
      <c r="J12" s="111">
        <f>HLOOKUP($B$2,'WARD DATA'!$A$1:$AA$533,13,1)</f>
        <v>7552.84</v>
      </c>
      <c r="K12" s="69" t="s">
        <v>348</v>
      </c>
      <c r="L12" s="61"/>
      <c r="M12" s="5" t="s">
        <v>381</v>
      </c>
      <c r="O12" s="4"/>
    </row>
    <row r="13" spans="1:15" hidden="1" x14ac:dyDescent="0.2">
      <c r="A13" s="29"/>
      <c r="B13" s="85" t="s">
        <v>317</v>
      </c>
      <c r="C13" s="70"/>
      <c r="D13" s="71">
        <f>'WARD DATA'!D14</f>
        <v>4.0999999999999996</v>
      </c>
      <c r="E13" s="97" t="s">
        <v>348</v>
      </c>
      <c r="F13" s="71">
        <f>'WARD DATA'!E14</f>
        <v>3.4</v>
      </c>
      <c r="G13" s="101" t="s">
        <v>348</v>
      </c>
      <c r="H13" s="72">
        <f>'WARD DATA'!F14</f>
        <v>7</v>
      </c>
      <c r="I13" s="97" t="s">
        <v>348</v>
      </c>
      <c r="J13" s="112">
        <f>HLOOKUP($B$2,'WARD DATA'!$A$1:$AA$533,14,1)</f>
        <v>1.5</v>
      </c>
      <c r="K13" s="73" t="s">
        <v>348</v>
      </c>
      <c r="L13" s="61"/>
      <c r="M13" s="5" t="s">
        <v>382</v>
      </c>
      <c r="O13" s="4"/>
    </row>
    <row r="14" spans="1:15" hidden="1" x14ac:dyDescent="0.2">
      <c r="A14" s="103"/>
      <c r="B14" s="83"/>
      <c r="D14" s="47"/>
      <c r="E14" s="96"/>
      <c r="F14" s="47"/>
      <c r="G14" s="100"/>
      <c r="H14" s="20"/>
      <c r="I14" s="96"/>
      <c r="J14" s="53"/>
      <c r="K14" s="69"/>
      <c r="L14" s="61"/>
      <c r="M14" s="5" t="s">
        <v>383</v>
      </c>
      <c r="O14" s="4"/>
    </row>
    <row r="15" spans="1:15" hidden="1" x14ac:dyDescent="0.2">
      <c r="A15" s="30" t="s">
        <v>32</v>
      </c>
      <c r="B15" s="86" t="s">
        <v>326</v>
      </c>
      <c r="C15" s="62"/>
      <c r="D15" s="63">
        <f>'WARD DATA'!D15</f>
        <v>3318449</v>
      </c>
      <c r="E15" s="95">
        <f>'WARD DATA'!D16</f>
        <v>6.3</v>
      </c>
      <c r="F15" s="63">
        <f>'WARD DATA'!E15</f>
        <v>328447</v>
      </c>
      <c r="G15" s="99">
        <f>'WARD DATA'!E16</f>
        <v>6.2</v>
      </c>
      <c r="H15" s="64">
        <f>'WARD DATA'!F15</f>
        <v>13957</v>
      </c>
      <c r="I15" s="95">
        <f>'WARD DATA'!F16</f>
        <v>6</v>
      </c>
      <c r="J15" s="74">
        <f>HLOOKUP($B$2,'WARD DATA'!$A$1:$AA$533,15,1)</f>
        <v>642</v>
      </c>
      <c r="K15" s="65">
        <f>HLOOKUP($B$2,'WARD DATA'!$A$1:$AA$533,16,1)</f>
        <v>5.7</v>
      </c>
      <c r="L15" s="61"/>
      <c r="M15" s="5" t="s">
        <v>384</v>
      </c>
      <c r="O15" s="4"/>
    </row>
    <row r="16" spans="1:15" hidden="1" x14ac:dyDescent="0.2">
      <c r="A16" s="31"/>
      <c r="B16" s="87" t="s">
        <v>327</v>
      </c>
      <c r="C16" s="66"/>
      <c r="D16" s="67">
        <f>'WARD DATA'!D48</f>
        <v>6704387</v>
      </c>
      <c r="E16" s="96">
        <f>'WARD DATA'!D49</f>
        <v>13.468992248062014</v>
      </c>
      <c r="F16" s="67">
        <f>'WARD DATA'!E48</f>
        <v>669345</v>
      </c>
      <c r="G16" s="100">
        <f>'WARD DATA'!E49</f>
        <v>12.668032241598883</v>
      </c>
      <c r="H16" s="68">
        <f>'WARD DATA'!F48</f>
        <v>28929</v>
      </c>
      <c r="I16" s="96">
        <f>'WARD DATA'!F49</f>
        <v>12.511406835884284</v>
      </c>
      <c r="J16" s="75">
        <f>HLOOKUP($B$2,'WARD DATA'!$A$1:$AA$533,48,1)</f>
        <v>1400</v>
      </c>
      <c r="K16" s="69">
        <f>HLOOKUP($B$2,'WARD DATA'!$A$1:$AA$533,49,1)</f>
        <v>12.365306482953542</v>
      </c>
      <c r="L16" s="61"/>
      <c r="M16" s="5" t="s">
        <v>385</v>
      </c>
      <c r="O16" s="4"/>
    </row>
    <row r="17" spans="1:15" hidden="1" x14ac:dyDescent="0.2">
      <c r="A17" s="31"/>
      <c r="B17" s="88" t="s">
        <v>328</v>
      </c>
      <c r="C17" s="66"/>
      <c r="D17" s="67">
        <f>'WARD DATA'!D50</f>
        <v>3048760</v>
      </c>
      <c r="E17" s="96">
        <f>'WARD DATA'!D51</f>
        <v>6.1249037094967145</v>
      </c>
      <c r="F17" s="67">
        <f>'WARD DATA'!E50</f>
        <v>665550</v>
      </c>
      <c r="G17" s="100">
        <f>'WARD DATA'!E51</f>
        <v>12.596208021866358</v>
      </c>
      <c r="H17" s="68">
        <f>'WARD DATA'!F50</f>
        <v>24934</v>
      </c>
      <c r="I17" s="96">
        <f>'WARD DATA'!F51</f>
        <v>10.783622594833513</v>
      </c>
      <c r="J17" s="75">
        <f>HLOOKUP($B$2,'WARD DATA'!$A$1:$AA$533,50,1)</f>
        <v>1086</v>
      </c>
      <c r="K17" s="69">
        <f>HLOOKUP($B$2,'WARD DATA'!$A$1:$AA$533,51,1)</f>
        <v>9.5919448860625334</v>
      </c>
      <c r="L17" s="61"/>
      <c r="M17" s="5" t="s">
        <v>386</v>
      </c>
      <c r="O17" s="4"/>
    </row>
    <row r="18" spans="1:15" hidden="1" x14ac:dyDescent="0.2">
      <c r="A18" s="28"/>
      <c r="B18" s="89" t="s">
        <v>358</v>
      </c>
      <c r="C18" s="66"/>
      <c r="D18" s="67">
        <f>'WARD DATA'!D52</f>
        <v>14595152</v>
      </c>
      <c r="E18" s="96">
        <f>'WARD DATA'!D53</f>
        <v>29.32139644493774</v>
      </c>
      <c r="F18" s="67">
        <f>'WARD DATA'!E52</f>
        <v>1389425</v>
      </c>
      <c r="G18" s="100">
        <f>'WARD DATA'!E53</f>
        <v>26.29627575806726</v>
      </c>
      <c r="H18" s="68">
        <f>'WARD DATA'!F52</f>
        <v>60171</v>
      </c>
      <c r="I18" s="96">
        <f>'WARD DATA'!F53</f>
        <v>26.023155336236758</v>
      </c>
      <c r="J18" s="75">
        <f>HLOOKUP($B$2,'WARD DATA'!$A$1:$AA$533,52,1)</f>
        <v>2897</v>
      </c>
      <c r="K18" s="69">
        <f>HLOOKUP($B$2,'WARD DATA'!$A$1:$AA$533,53,1)</f>
        <v>25.587352057940294</v>
      </c>
      <c r="L18" s="61"/>
      <c r="M18" s="5" t="s">
        <v>388</v>
      </c>
      <c r="O18" s="4"/>
    </row>
    <row r="19" spans="1:15" hidden="1" x14ac:dyDescent="0.2">
      <c r="A19" s="28"/>
      <c r="B19" s="88" t="s">
        <v>360</v>
      </c>
      <c r="C19" s="66"/>
      <c r="D19" s="67">
        <f>'WARD DATA'!D54</f>
        <v>10276902</v>
      </c>
      <c r="E19" s="96">
        <f>'WARD DATA'!D55</f>
        <v>20.646110281535513</v>
      </c>
      <c r="F19" s="67">
        <f>'WARD DATA'!E54</f>
        <v>1031066</v>
      </c>
      <c r="G19" s="100">
        <f>'WARD DATA'!E55</f>
        <v>19.513968627862159</v>
      </c>
      <c r="H19" s="68">
        <f>'WARD DATA'!F54</f>
        <v>48377</v>
      </c>
      <c r="I19" s="96">
        <f>'WARD DATA'!F55</f>
        <v>20.922407566786756</v>
      </c>
      <c r="J19" s="75">
        <f>HLOOKUP($B$2,'WARD DATA'!$A$1:$AA$533,54,1)</f>
        <v>2589</v>
      </c>
      <c r="K19" s="69">
        <f>HLOOKUP($B$2,'WARD DATA'!$A$1:$AA$533,55,1)</f>
        <v>22.866984631690514</v>
      </c>
      <c r="L19" s="61"/>
      <c r="M19" s="5" t="s">
        <v>389</v>
      </c>
      <c r="O19" s="4"/>
    </row>
    <row r="20" spans="1:15" hidden="1" x14ac:dyDescent="0.2">
      <c r="A20" s="31"/>
      <c r="B20" s="88" t="s">
        <v>329</v>
      </c>
      <c r="C20" s="66"/>
      <c r="D20" s="67">
        <f>'WARD DATA'!D56</f>
        <v>7724560</v>
      </c>
      <c r="E20" s="96">
        <f>'WARD DATA'!D57</f>
        <v>15.518501357348544</v>
      </c>
      <c r="F20" s="67">
        <f>'WARD DATA'!E56</f>
        <v>789178</v>
      </c>
      <c r="G20" s="100">
        <f>'WARD DATA'!E57</f>
        <v>14.935993169980391</v>
      </c>
      <c r="H20" s="68">
        <f>'WARD DATA'!F56</f>
        <v>36923</v>
      </c>
      <c r="I20" s="96">
        <f>'WARD DATA'!F57</f>
        <v>15.968705264660215</v>
      </c>
      <c r="J20" s="75">
        <f>HLOOKUP($B$2,'WARD DATA'!$A$1:$AA$533,56,1)</f>
        <v>1850</v>
      </c>
      <c r="K20" s="69">
        <f>HLOOKUP($B$2,'WARD DATA'!$A$1:$AA$533,57,1)</f>
        <v>16.33986928104575</v>
      </c>
      <c r="L20" s="61"/>
      <c r="M20" s="5" t="s">
        <v>390</v>
      </c>
      <c r="O20" s="4"/>
    </row>
    <row r="21" spans="1:15" hidden="1" x14ac:dyDescent="0.2">
      <c r="A21" s="31"/>
      <c r="B21" s="88" t="s">
        <v>359</v>
      </c>
      <c r="C21" s="66"/>
      <c r="D21" s="67">
        <f>'WARD DATA'!D58</f>
        <v>4108246</v>
      </c>
      <c r="E21" s="96">
        <f>'WARD DATA'!D59</f>
        <v>8.253391924889149</v>
      </c>
      <c r="F21" s="67">
        <f>'WARD DATA'!E58</f>
        <v>410722</v>
      </c>
      <c r="G21" s="100">
        <f>'WARD DATA'!E59</f>
        <v>7.7733299544091263</v>
      </c>
      <c r="H21" s="68">
        <f>'WARD DATA'!F58</f>
        <v>17930</v>
      </c>
      <c r="I21" s="96">
        <f>'WARD DATA'!F59</f>
        <v>7.7544859679700373</v>
      </c>
      <c r="J21" s="75">
        <f>HLOOKUP($B$2,'WARD DATA'!$A$1:$AA$533,58,1)</f>
        <v>858</v>
      </c>
      <c r="K21" s="69">
        <f>HLOOKUP($B$2,'WARD DATA'!$A$1:$AA$533,59,1)</f>
        <v>7.578166401695813</v>
      </c>
      <c r="L21" s="61"/>
      <c r="M21" s="5" t="s">
        <v>391</v>
      </c>
      <c r="O21" s="4"/>
    </row>
    <row r="22" spans="1:15" hidden="1" x14ac:dyDescent="0.2">
      <c r="A22" s="31"/>
      <c r="B22" s="88" t="s">
        <v>331</v>
      </c>
      <c r="C22" s="66"/>
      <c r="D22" s="67">
        <f>'WARD DATA'!D60</f>
        <v>31093091</v>
      </c>
      <c r="E22" s="96">
        <f>'WARD DATA'!D61</f>
        <v>62.465457564917834</v>
      </c>
      <c r="F22" s="67">
        <f>'WARD DATA'!E60</f>
        <v>3411370</v>
      </c>
      <c r="G22" s="100">
        <f>'WARD DATA'!E61</f>
        <v>64.563633325150988</v>
      </c>
      <c r="H22" s="68">
        <f>'WARD DATA'!F60</f>
        <v>148325</v>
      </c>
      <c r="I22" s="96">
        <f>'WARD DATA'!F61</f>
        <v>64.148585119863682</v>
      </c>
      <c r="J22" s="75">
        <f>HLOOKUP($B$2,'WARD DATA'!$A$1:$AA$533,60,1)</f>
        <v>7383</v>
      </c>
      <c r="K22" s="69">
        <f>HLOOKUP($B$2,'WARD DATA'!$A$1:$AA$533,61,1)</f>
        <v>65.209326974032848</v>
      </c>
      <c r="L22" s="61"/>
      <c r="M22" s="5" t="s">
        <v>392</v>
      </c>
      <c r="O22" s="4"/>
    </row>
    <row r="23" spans="1:15" hidden="1" x14ac:dyDescent="0.2">
      <c r="A23" s="31"/>
      <c r="B23" s="90" t="s">
        <v>330</v>
      </c>
      <c r="C23" s="66"/>
      <c r="D23" s="67">
        <f>'WARD DATA'!D62</f>
        <v>8660529</v>
      </c>
      <c r="E23" s="96">
        <f>'WARD DATA'!D63</f>
        <v>17.398846153289821</v>
      </c>
      <c r="F23" s="67">
        <f>'WARD DATA'!E62</f>
        <v>874571</v>
      </c>
      <c r="G23" s="100">
        <f>'WARD DATA'!E63</f>
        <v>16.552142207034308</v>
      </c>
      <c r="H23" s="68">
        <f>'WARD DATA'!F62</f>
        <v>40010</v>
      </c>
      <c r="I23" s="96">
        <f>'WARD DATA'!F63</f>
        <v>17.303791610623602</v>
      </c>
      <c r="J23" s="75">
        <f>HLOOKUP($B$2,'WARD DATA'!$A$1:$AA$533,62,1)</f>
        <v>1897</v>
      </c>
      <c r="K23" s="69">
        <f>HLOOKUP($B$2,'WARD DATA'!$A$1:$AA$533,63,1)</f>
        <v>16.754990284402048</v>
      </c>
      <c r="L23" s="61"/>
      <c r="M23" s="5" t="s">
        <v>393</v>
      </c>
      <c r="O23" s="4"/>
    </row>
    <row r="24" spans="1:15" hidden="1" x14ac:dyDescent="0.2">
      <c r="A24" s="28"/>
      <c r="B24" s="91" t="s">
        <v>29</v>
      </c>
      <c r="C24" s="66"/>
      <c r="D24" s="67">
        <f>'WARD DATA'!D64</f>
        <v>39.299999999999997</v>
      </c>
      <c r="E24" s="96" t="s">
        <v>348</v>
      </c>
      <c r="F24" s="67">
        <f>'WARD DATA'!E64</f>
        <v>39.4</v>
      </c>
      <c r="G24" s="100" t="s">
        <v>348</v>
      </c>
      <c r="H24" s="68">
        <f>'WARD DATA'!F64</f>
        <v>40.4</v>
      </c>
      <c r="I24" s="96" t="s">
        <v>348</v>
      </c>
      <c r="J24" s="75">
        <f>HLOOKUP($B$2,'WARD DATA'!$A$1:$AA$533,64,1)</f>
        <v>41.2</v>
      </c>
      <c r="K24" s="69" t="s">
        <v>348</v>
      </c>
      <c r="L24" s="61"/>
      <c r="M24" s="5" t="s">
        <v>394</v>
      </c>
      <c r="O24" s="4"/>
    </row>
    <row r="25" spans="1:15" hidden="1" x14ac:dyDescent="0.2">
      <c r="A25" s="29"/>
      <c r="B25" s="92" t="s">
        <v>31</v>
      </c>
      <c r="C25" s="70"/>
      <c r="D25" s="71">
        <f>'WARD DATA'!D66</f>
        <v>39</v>
      </c>
      <c r="E25" s="97" t="s">
        <v>348</v>
      </c>
      <c r="F25" s="71">
        <f>'WARD DATA'!E66</f>
        <v>39</v>
      </c>
      <c r="G25" s="101" t="s">
        <v>348</v>
      </c>
      <c r="H25" s="72">
        <f>'WARD DATA'!F66</f>
        <v>41</v>
      </c>
      <c r="I25" s="97" t="s">
        <v>348</v>
      </c>
      <c r="J25" s="76">
        <f>HLOOKUP($B$2,'WARD DATA'!$A$1:$AA$533,66,1)</f>
        <v>43</v>
      </c>
      <c r="K25" s="73" t="s">
        <v>348</v>
      </c>
      <c r="L25" s="61"/>
      <c r="M25" s="5" t="s">
        <v>395</v>
      </c>
      <c r="O25" s="4"/>
    </row>
    <row r="26" spans="1:15" hidden="1" x14ac:dyDescent="0.2">
      <c r="A26" s="103"/>
      <c r="B26" s="91"/>
      <c r="D26" s="47"/>
      <c r="E26" s="96"/>
      <c r="F26" s="47"/>
      <c r="G26" s="100"/>
      <c r="H26" s="20"/>
      <c r="I26" s="96"/>
      <c r="J26" s="53"/>
      <c r="K26" s="69"/>
      <c r="L26" s="61"/>
      <c r="M26" s="5" t="s">
        <v>387</v>
      </c>
      <c r="O26" s="4"/>
    </row>
    <row r="27" spans="1:15" hidden="1" x14ac:dyDescent="0.2">
      <c r="A27" s="27" t="s">
        <v>312</v>
      </c>
      <c r="B27" s="93" t="s">
        <v>56</v>
      </c>
      <c r="C27" s="62"/>
      <c r="D27" s="63">
        <f>'WARD DATA'!D68</f>
        <v>53012456</v>
      </c>
      <c r="E27" s="95">
        <f>'WARD DATA'!D69</f>
        <v>100</v>
      </c>
      <c r="F27" s="63">
        <f>'WARD DATA'!E68</f>
        <v>5283733</v>
      </c>
      <c r="G27" s="99">
        <f>'WARD DATA'!E69</f>
        <v>100</v>
      </c>
      <c r="H27" s="64">
        <f>'WARD DATA'!F68</f>
        <v>231221</v>
      </c>
      <c r="I27" s="95">
        <f>'WARD DATA'!F69</f>
        <v>100</v>
      </c>
      <c r="J27" s="74">
        <f>HLOOKUP($B$2,'WARD DATA'!$A$1:$AA$533,68,1)</f>
        <v>11322</v>
      </c>
      <c r="K27" s="65">
        <f>HLOOKUP($B$2,'WARD DATA'!$A$1:$AA$533,69,1)</f>
        <v>100</v>
      </c>
      <c r="L27" s="61"/>
    </row>
    <row r="28" spans="1:15" hidden="1" x14ac:dyDescent="0.2">
      <c r="A28" s="28"/>
      <c r="B28" s="91" t="s">
        <v>103</v>
      </c>
      <c r="C28" s="66"/>
      <c r="D28" s="67">
        <f>'WARD DATA'!D70</f>
        <v>45281142</v>
      </c>
      <c r="E28" s="96">
        <f>'WARD DATA'!D71</f>
        <v>85.4</v>
      </c>
      <c r="F28" s="67">
        <f>'WARD DATA'!E70</f>
        <v>4691956</v>
      </c>
      <c r="G28" s="100">
        <f>'WARD DATA'!E71</f>
        <v>88.8</v>
      </c>
      <c r="H28" s="68">
        <f>'WARD DATA'!F70</f>
        <v>226285</v>
      </c>
      <c r="I28" s="96">
        <f>'WARD DATA'!F71</f>
        <v>97.9</v>
      </c>
      <c r="J28" s="75">
        <f>HLOOKUP($B$2,'WARD DATA'!$A$1:$AA$533,70,1)</f>
        <v>11144</v>
      </c>
      <c r="K28" s="69">
        <f>HLOOKUP($B$2,'WARD DATA'!$A$1:$AA$533,71,1)</f>
        <v>98.4</v>
      </c>
      <c r="L28" s="61"/>
    </row>
    <row r="29" spans="1:15" hidden="1" x14ac:dyDescent="0.2">
      <c r="A29" s="28"/>
      <c r="B29" s="91" t="s">
        <v>104</v>
      </c>
      <c r="C29" s="66"/>
      <c r="D29" s="67">
        <f>'WARD DATA'!D72</f>
        <v>1192879</v>
      </c>
      <c r="E29" s="96">
        <f>'WARD DATA'!D73</f>
        <v>2.2999999999999998</v>
      </c>
      <c r="F29" s="67">
        <f>'WARD DATA'!E72</f>
        <v>84558</v>
      </c>
      <c r="G29" s="100">
        <f>'WARD DATA'!E73</f>
        <v>1.6</v>
      </c>
      <c r="H29" s="68">
        <f>'WARD DATA'!F72</f>
        <v>1630</v>
      </c>
      <c r="I29" s="96">
        <f>'WARD DATA'!F73</f>
        <v>0.7</v>
      </c>
      <c r="J29" s="75">
        <f>HLOOKUP($B$2,'WARD DATA'!$A$1:$AA$533,72,1)</f>
        <v>82</v>
      </c>
      <c r="K29" s="69">
        <f>HLOOKUP($B$2,'WARD DATA'!$A$1:$AA$533,73,1)</f>
        <v>0.7</v>
      </c>
      <c r="L29" s="61"/>
    </row>
    <row r="30" spans="1:15" hidden="1" x14ac:dyDescent="0.2">
      <c r="A30" s="28"/>
      <c r="B30" s="91" t="s">
        <v>105</v>
      </c>
      <c r="C30" s="66"/>
      <c r="D30" s="67">
        <f>'WARD DATA'!D74</f>
        <v>4143403</v>
      </c>
      <c r="E30" s="96">
        <f>'WARD DATA'!D75</f>
        <v>7.8</v>
      </c>
      <c r="F30" s="67">
        <f>'WARD DATA'!E74</f>
        <v>385964</v>
      </c>
      <c r="G30" s="100">
        <f>'WARD DATA'!E75</f>
        <v>7.3</v>
      </c>
      <c r="H30" s="68">
        <f>'WARD DATA'!F74</f>
        <v>1661</v>
      </c>
      <c r="I30" s="96">
        <f>'WARD DATA'!F75</f>
        <v>0.7</v>
      </c>
      <c r="J30" s="75">
        <f>HLOOKUP($B$2,'WARD DATA'!$A$1:$AA$533,74,1)</f>
        <v>66</v>
      </c>
      <c r="K30" s="69">
        <f>HLOOKUP($B$2,'WARD DATA'!$A$1:$AA$533,75,1)</f>
        <v>0.6</v>
      </c>
      <c r="L30" s="61"/>
    </row>
    <row r="31" spans="1:15" hidden="1" x14ac:dyDescent="0.2">
      <c r="A31" s="28"/>
      <c r="B31" s="91" t="s">
        <v>106</v>
      </c>
      <c r="C31" s="66"/>
      <c r="D31" s="67">
        <f>'WARD DATA'!D76</f>
        <v>1846614</v>
      </c>
      <c r="E31" s="96">
        <f>'WARD DATA'!D77</f>
        <v>3.5</v>
      </c>
      <c r="F31" s="67">
        <f>'WARD DATA'!E76</f>
        <v>80345</v>
      </c>
      <c r="G31" s="100">
        <f>'WARD DATA'!E77</f>
        <v>1.5</v>
      </c>
      <c r="H31" s="68">
        <f>'WARD DATA'!F76</f>
        <v>1221</v>
      </c>
      <c r="I31" s="96">
        <f>'WARD DATA'!F77</f>
        <v>0.5</v>
      </c>
      <c r="J31" s="75">
        <f>HLOOKUP($B$2,'WARD DATA'!$A$1:$AA$533,76,1)</f>
        <v>20</v>
      </c>
      <c r="K31" s="69">
        <f>HLOOKUP($B$2,'WARD DATA'!$A$1:$AA$533,77,1)</f>
        <v>0.2</v>
      </c>
      <c r="L31" s="61"/>
    </row>
    <row r="32" spans="1:15" hidden="1" x14ac:dyDescent="0.2">
      <c r="A32" s="29"/>
      <c r="B32" s="92" t="s">
        <v>107</v>
      </c>
      <c r="C32" s="70"/>
      <c r="D32" s="71">
        <f>'WARD DATA'!D78</f>
        <v>548418</v>
      </c>
      <c r="E32" s="97">
        <f>'WARD DATA'!D79</f>
        <v>1</v>
      </c>
      <c r="F32" s="71">
        <f>'WARD DATA'!E78</f>
        <v>40910</v>
      </c>
      <c r="G32" s="101">
        <f>'WARD DATA'!E79</f>
        <v>0.8</v>
      </c>
      <c r="H32" s="72">
        <f>'WARD DATA'!F78</f>
        <v>424</v>
      </c>
      <c r="I32" s="97">
        <f>'WARD DATA'!F79</f>
        <v>0.2</v>
      </c>
      <c r="J32" s="76">
        <f>HLOOKUP($B$2,'WARD DATA'!$A$1:$AA$533,78,1)</f>
        <v>10</v>
      </c>
      <c r="K32" s="73">
        <f>HLOOKUP($B$2,'WARD DATA'!$A$1:$AA$533,79,1)</f>
        <v>0.1</v>
      </c>
      <c r="L32" s="61"/>
    </row>
    <row r="33" spans="1:12" hidden="1" x14ac:dyDescent="0.2">
      <c r="A33" s="104"/>
      <c r="B33" s="91"/>
      <c r="D33" s="47"/>
      <c r="E33" s="96"/>
      <c r="F33" s="47"/>
      <c r="G33" s="100"/>
      <c r="H33" s="20"/>
      <c r="I33" s="96"/>
      <c r="J33" s="53"/>
      <c r="K33" s="69"/>
      <c r="L33" s="61"/>
    </row>
    <row r="34" spans="1:12" hidden="1" x14ac:dyDescent="0.2">
      <c r="A34" s="104"/>
      <c r="B34" s="91"/>
      <c r="D34" s="47"/>
      <c r="E34" s="96"/>
      <c r="F34" s="47"/>
      <c r="G34" s="100"/>
      <c r="H34" s="20"/>
      <c r="I34" s="96"/>
      <c r="J34" s="53"/>
      <c r="K34" s="69"/>
      <c r="L34" s="61"/>
    </row>
    <row r="35" spans="1:12" hidden="1" x14ac:dyDescent="0.2">
      <c r="A35" s="27" t="s">
        <v>68</v>
      </c>
      <c r="B35" s="93" t="s">
        <v>57</v>
      </c>
      <c r="C35" s="62"/>
      <c r="D35" s="63">
        <f>'WARD DATA'!D82</f>
        <v>45675317</v>
      </c>
      <c r="E35" s="95">
        <f>'WARD DATA'!D83</f>
        <v>86.2</v>
      </c>
      <c r="F35" s="63">
        <f>'WARD DATA'!E82</f>
        <v>4819042</v>
      </c>
      <c r="G35" s="99">
        <f>'WARD DATA'!E83</f>
        <v>91.2</v>
      </c>
      <c r="H35" s="64">
        <f>'WARD DATA'!F82</f>
        <v>223418</v>
      </c>
      <c r="I35" s="95">
        <f>'WARD DATA'!F83</f>
        <v>96.6</v>
      </c>
      <c r="J35" s="74">
        <f>HLOOKUP($B$2,'WARD DATA'!$A$1:$AA$533,82,1)</f>
        <v>11032</v>
      </c>
      <c r="K35" s="65">
        <f>HLOOKUP($B$2,'WARD DATA'!$A$1:$AA$533,83,1)</f>
        <v>97.4</v>
      </c>
      <c r="L35" s="61"/>
    </row>
    <row r="36" spans="1:12" hidden="1" x14ac:dyDescent="0.2">
      <c r="A36" s="28"/>
      <c r="B36" s="91" t="s">
        <v>58</v>
      </c>
      <c r="C36" s="66"/>
      <c r="D36" s="67">
        <f>'WARD DATA'!D84</f>
        <v>44246592</v>
      </c>
      <c r="E36" s="96">
        <f>'WARD DATA'!D85</f>
        <v>83.5</v>
      </c>
      <c r="F36" s="67">
        <f>'WARD DATA'!E84</f>
        <v>4706892</v>
      </c>
      <c r="G36" s="100">
        <f>'WARD DATA'!E85</f>
        <v>89.1</v>
      </c>
      <c r="H36" s="68">
        <f>'WARD DATA'!F84</f>
        <v>220224</v>
      </c>
      <c r="I36" s="96">
        <f>'WARD DATA'!F85</f>
        <v>95.2</v>
      </c>
      <c r="J36" s="75">
        <f>HLOOKUP($B$2,'WARD DATA'!$A$1:$AA$533,84,1)</f>
        <v>10795</v>
      </c>
      <c r="K36" s="69">
        <f>HLOOKUP($B$2,'WARD DATA'!$A$1:$AA$533,85,1)</f>
        <v>95.3</v>
      </c>
      <c r="L36" s="61"/>
    </row>
    <row r="37" spans="1:12" hidden="1" x14ac:dyDescent="0.2">
      <c r="A37" s="28"/>
      <c r="B37" s="91" t="s">
        <v>59</v>
      </c>
      <c r="C37" s="66"/>
      <c r="D37" s="67">
        <f>'WARD DATA'!D86</f>
        <v>206735</v>
      </c>
      <c r="E37" s="96">
        <f>'WARD DATA'!D87</f>
        <v>0.4</v>
      </c>
      <c r="F37" s="67">
        <f>'WARD DATA'!E86</f>
        <v>16608</v>
      </c>
      <c r="G37" s="100">
        <f>'WARD DATA'!E87</f>
        <v>0.3</v>
      </c>
      <c r="H37" s="68">
        <f>'WARD DATA'!F86</f>
        <v>454</v>
      </c>
      <c r="I37" s="96">
        <f>'WARD DATA'!F87</f>
        <v>0.2</v>
      </c>
      <c r="J37" s="75">
        <f>HLOOKUP($B$2,'WARD DATA'!$A$1:$AA$533,86,1)</f>
        <v>17</v>
      </c>
      <c r="K37" s="69">
        <f>HLOOKUP($B$2,'WARD DATA'!$A$1:$AA$533,87,1)</f>
        <v>0.2</v>
      </c>
      <c r="L37" s="61"/>
    </row>
    <row r="38" spans="1:12" hidden="1" x14ac:dyDescent="0.2">
      <c r="A38" s="28"/>
      <c r="B38" s="91" t="s">
        <v>60</v>
      </c>
      <c r="C38" s="66"/>
      <c r="D38" s="67">
        <f>'WARD DATA'!D88</f>
        <v>708872</v>
      </c>
      <c r="E38" s="96">
        <f>'WARD DATA'!D89</f>
        <v>1.3</v>
      </c>
      <c r="F38" s="67">
        <f>'WARD DATA'!E88</f>
        <v>68856</v>
      </c>
      <c r="G38" s="100">
        <f>'WARD DATA'!E89</f>
        <v>1.3</v>
      </c>
      <c r="H38" s="68">
        <f>'WARD DATA'!F88</f>
        <v>1894</v>
      </c>
      <c r="I38" s="96">
        <f>'WARD DATA'!F89</f>
        <v>0.8</v>
      </c>
      <c r="J38" s="75">
        <f>HLOOKUP($B$2,'WARD DATA'!$A$1:$AA$533,88,1)</f>
        <v>144</v>
      </c>
      <c r="K38" s="69">
        <f>HLOOKUP($B$2,'WARD DATA'!$A$1:$AA$533,89,1)</f>
        <v>1.3</v>
      </c>
      <c r="L38" s="61"/>
    </row>
    <row r="39" spans="1:12" hidden="1" x14ac:dyDescent="0.2">
      <c r="A39" s="28"/>
      <c r="B39" s="91" t="s">
        <v>61</v>
      </c>
      <c r="C39" s="66"/>
      <c r="D39" s="67">
        <f>'WARD DATA'!D90</f>
        <v>506619</v>
      </c>
      <c r="E39" s="96">
        <f>'WARD DATA'!D91</f>
        <v>1</v>
      </c>
      <c r="F39" s="67">
        <f>'WARD DATA'!E90</f>
        <v>26255</v>
      </c>
      <c r="G39" s="100">
        <f>'WARD DATA'!E91</f>
        <v>0.5</v>
      </c>
      <c r="H39" s="68">
        <f>'WARD DATA'!F90</f>
        <v>843</v>
      </c>
      <c r="I39" s="96">
        <f>'WARD DATA'!F91</f>
        <v>0.4</v>
      </c>
      <c r="J39" s="75">
        <f>HLOOKUP($B$2,'WARD DATA'!$A$1:$AA$533,90,1)</f>
        <v>76</v>
      </c>
      <c r="K39" s="69">
        <f>HLOOKUP($B$2,'WARD DATA'!$A$1:$AA$533,91,1)</f>
        <v>0.7</v>
      </c>
      <c r="L39" s="61"/>
    </row>
    <row r="40" spans="1:12" hidden="1" x14ac:dyDescent="0.2">
      <c r="A40" s="28"/>
      <c r="B40" s="91" t="s">
        <v>62</v>
      </c>
      <c r="C40" s="66"/>
      <c r="D40" s="67">
        <f>'WARD DATA'!D92</f>
        <v>6499</v>
      </c>
      <c r="E40" s="96">
        <f>'WARD DATA'!D93</f>
        <v>0</v>
      </c>
      <c r="F40" s="67">
        <f>'WARD DATA'!E92</f>
        <v>431</v>
      </c>
      <c r="G40" s="100">
        <f>'WARD DATA'!E93</f>
        <v>0</v>
      </c>
      <c r="H40" s="68">
        <f>'WARD DATA'!F92</f>
        <v>3</v>
      </c>
      <c r="I40" s="96">
        <f>'WARD DATA'!F93</f>
        <v>0</v>
      </c>
      <c r="J40" s="75">
        <f>HLOOKUP($B$2,'WARD DATA'!$A$1:$AA$533,92,1)</f>
        <v>0</v>
      </c>
      <c r="K40" s="69">
        <f>HLOOKUP($B$2,'WARD DATA'!$A$1:$AA$533,93,1)</f>
        <v>0</v>
      </c>
      <c r="L40" s="61"/>
    </row>
    <row r="41" spans="1:12" hidden="1" x14ac:dyDescent="0.2">
      <c r="A41" s="28"/>
      <c r="B41" s="91" t="s">
        <v>63</v>
      </c>
      <c r="C41" s="66"/>
      <c r="D41" s="67">
        <f>'WARD DATA'!D94</f>
        <v>395182</v>
      </c>
      <c r="E41" s="96">
        <f>'WARD DATA'!D95</f>
        <v>0.7</v>
      </c>
      <c r="F41" s="67">
        <f>'WARD DATA'!E94</f>
        <v>19986</v>
      </c>
      <c r="G41" s="100">
        <f>'WARD DATA'!E95</f>
        <v>0.4</v>
      </c>
      <c r="H41" s="68">
        <f>'WARD DATA'!F94</f>
        <v>478</v>
      </c>
      <c r="I41" s="96">
        <f>'WARD DATA'!F95</f>
        <v>0.2</v>
      </c>
      <c r="J41" s="75">
        <f>HLOOKUP($B$2,'WARD DATA'!$A$1:$AA$533,94,1)</f>
        <v>37</v>
      </c>
      <c r="K41" s="69">
        <f>HLOOKUP($B$2,'WARD DATA'!$A$1:$AA$533,95,1)</f>
        <v>0.3</v>
      </c>
      <c r="L41" s="61"/>
    </row>
    <row r="42" spans="1:12" hidden="1" x14ac:dyDescent="0.2">
      <c r="A42" s="28"/>
      <c r="B42" s="91" t="s">
        <v>64</v>
      </c>
      <c r="C42" s="66"/>
      <c r="D42" s="67">
        <f>'WARD DATA'!D96</f>
        <v>1980259</v>
      </c>
      <c r="E42" s="96">
        <f>'WARD DATA'!D97</f>
        <v>3.7</v>
      </c>
      <c r="F42" s="67">
        <f>'WARD DATA'!E96</f>
        <v>130647</v>
      </c>
      <c r="G42" s="100">
        <f>'WARD DATA'!E97</f>
        <v>2.5</v>
      </c>
      <c r="H42" s="68">
        <f>'WARD DATA'!F96</f>
        <v>3498</v>
      </c>
      <c r="I42" s="96">
        <f>'WARD DATA'!F97</f>
        <v>1.5</v>
      </c>
      <c r="J42" s="75">
        <f>HLOOKUP($B$2,'WARD DATA'!$A$1:$AA$533,96,1)</f>
        <v>109</v>
      </c>
      <c r="K42" s="69">
        <f>HLOOKUP($B$2,'WARD DATA'!$A$1:$AA$533,97,1)</f>
        <v>1</v>
      </c>
      <c r="L42" s="61"/>
    </row>
    <row r="43" spans="1:12" hidden="1" x14ac:dyDescent="0.2">
      <c r="A43" s="28"/>
      <c r="B43" s="91" t="s">
        <v>65</v>
      </c>
      <c r="C43" s="66"/>
      <c r="D43" s="67">
        <f>'WARD DATA'!D98</f>
        <v>894908</v>
      </c>
      <c r="E43" s="96">
        <f>'WARD DATA'!D99</f>
        <v>1.7</v>
      </c>
      <c r="F43" s="67">
        <f>'WARD DATA'!E98</f>
        <v>46878</v>
      </c>
      <c r="G43" s="100">
        <f>'WARD DATA'!E99</f>
        <v>0.9</v>
      </c>
      <c r="H43" s="68">
        <f>'WARD DATA'!F98</f>
        <v>1119</v>
      </c>
      <c r="I43" s="96">
        <f>'WARD DATA'!F99</f>
        <v>0.5</v>
      </c>
      <c r="J43" s="75">
        <f>HLOOKUP($B$2,'WARD DATA'!$A$1:$AA$533,98,1)</f>
        <v>57</v>
      </c>
      <c r="K43" s="69">
        <f>HLOOKUP($B$2,'WARD DATA'!$A$1:$AA$533,99,1)</f>
        <v>0.5</v>
      </c>
      <c r="L43" s="61"/>
    </row>
    <row r="44" spans="1:12" hidden="1" x14ac:dyDescent="0.2">
      <c r="A44" s="28"/>
      <c r="B44" s="91" t="s">
        <v>66</v>
      </c>
      <c r="C44" s="66"/>
      <c r="D44" s="67">
        <f>'WARD DATA'!D100</f>
        <v>1085351</v>
      </c>
      <c r="E44" s="96">
        <f>'WARD DATA'!D101</f>
        <v>2</v>
      </c>
      <c r="F44" s="67">
        <f>'WARD DATA'!E100</f>
        <v>83769</v>
      </c>
      <c r="G44" s="100">
        <f>'WARD DATA'!E101</f>
        <v>1.6</v>
      </c>
      <c r="H44" s="68">
        <f>'WARD DATA'!F100</f>
        <v>2379</v>
      </c>
      <c r="I44" s="96">
        <f>'WARD DATA'!F101</f>
        <v>1</v>
      </c>
      <c r="J44" s="75">
        <f>HLOOKUP($B$2,'WARD DATA'!$A$1:$AA$533,100,1)</f>
        <v>52</v>
      </c>
      <c r="K44" s="69">
        <f>HLOOKUP($B$2,'WARD DATA'!$A$1:$AA$533,101,1)</f>
        <v>0.5</v>
      </c>
      <c r="L44" s="61"/>
    </row>
    <row r="45" spans="1:12" hidden="1" x14ac:dyDescent="0.2">
      <c r="A45" s="29"/>
      <c r="B45" s="92" t="s">
        <v>67</v>
      </c>
      <c r="C45" s="70"/>
      <c r="D45" s="71">
        <f>'WARD DATA'!D102</f>
        <v>4961698</v>
      </c>
      <c r="E45" s="97">
        <f>'WARD DATA'!D103</f>
        <v>9.4</v>
      </c>
      <c r="F45" s="71">
        <f>'WARD DATA'!E102</f>
        <v>314058</v>
      </c>
      <c r="G45" s="101">
        <f>'WARD DATA'!E103</f>
        <v>5.9</v>
      </c>
      <c r="H45" s="72">
        <f>'WARD DATA'!F102</f>
        <v>3827</v>
      </c>
      <c r="I45" s="97">
        <f>'WARD DATA'!F103</f>
        <v>1.7</v>
      </c>
      <c r="J45" s="76">
        <f>HLOOKUP($B$2,'WARD DATA'!$A$1:$AA$533,102,1)</f>
        <v>144</v>
      </c>
      <c r="K45" s="73">
        <f>HLOOKUP($B$2,'WARD DATA'!$A$1:$AA$533,103,1)</f>
        <v>1.3</v>
      </c>
      <c r="L45" s="61"/>
    </row>
    <row r="46" spans="1:12" hidden="1" x14ac:dyDescent="0.2">
      <c r="A46" s="104"/>
      <c r="B46" s="91"/>
      <c r="D46" s="47"/>
      <c r="E46" s="96"/>
      <c r="F46" s="47"/>
      <c r="G46" s="100"/>
      <c r="H46" s="20"/>
      <c r="I46" s="96"/>
      <c r="J46" s="53"/>
      <c r="K46" s="69"/>
      <c r="L46" s="61"/>
    </row>
    <row r="47" spans="1:12" hidden="1" x14ac:dyDescent="0.2">
      <c r="A47" s="27" t="s">
        <v>253</v>
      </c>
      <c r="B47" s="93" t="s">
        <v>242</v>
      </c>
      <c r="C47" s="62"/>
      <c r="D47" s="63">
        <f>'WARD DATA'!D104</f>
        <v>53012456</v>
      </c>
      <c r="E47" s="95">
        <f>'WARD DATA'!D105</f>
        <v>100</v>
      </c>
      <c r="F47" s="63">
        <f>'WARD DATA'!E104</f>
        <v>5283733</v>
      </c>
      <c r="G47" s="99">
        <f>'WARD DATA'!E105</f>
        <v>100</v>
      </c>
      <c r="H47" s="64">
        <f>'WARD DATA'!F104</f>
        <v>231221</v>
      </c>
      <c r="I47" s="95">
        <f>'WARD DATA'!F105</f>
        <v>100</v>
      </c>
      <c r="J47" s="74">
        <f>HLOOKUP($B$2,'WARD DATA'!$A$1:$AA$533,104,1)</f>
        <v>11322</v>
      </c>
      <c r="K47" s="65">
        <f>HLOOKUP($B$2,'WARD DATA'!$A$1:$AA$533,105,1)</f>
        <v>100</v>
      </c>
      <c r="L47" s="61"/>
    </row>
    <row r="48" spans="1:12" hidden="1" x14ac:dyDescent="0.2">
      <c r="A48" s="28"/>
      <c r="B48" s="91" t="s">
        <v>243</v>
      </c>
      <c r="C48" s="66"/>
      <c r="D48" s="67">
        <f>'WARD DATA'!D106</f>
        <v>36094120</v>
      </c>
      <c r="E48" s="96">
        <f>'WARD DATA'!D107</f>
        <v>68.099999999999994</v>
      </c>
      <c r="F48" s="67">
        <f>'WARD DATA'!E106</f>
        <v>3556887</v>
      </c>
      <c r="G48" s="100">
        <f>'WARD DATA'!E107</f>
        <v>67.3</v>
      </c>
      <c r="H48" s="68">
        <f>'WARD DATA'!F106</f>
        <v>160677</v>
      </c>
      <c r="I48" s="96">
        <f>'WARD DATA'!F107</f>
        <v>69.5</v>
      </c>
      <c r="J48" s="75">
        <f>HLOOKUP($B$2,'WARD DATA'!$A$1:$AA$533,106,1)</f>
        <v>7664</v>
      </c>
      <c r="K48" s="69">
        <f>HLOOKUP($B$2,'WARD DATA'!$A$1:$AA$533,107,1)</f>
        <v>67.7</v>
      </c>
      <c r="L48" s="61"/>
    </row>
    <row r="49" spans="1:12" hidden="1" x14ac:dyDescent="0.2">
      <c r="A49" s="28"/>
      <c r="B49" s="91" t="s">
        <v>244</v>
      </c>
      <c r="C49" s="66"/>
      <c r="D49" s="67">
        <f>'WARD DATA'!D108</f>
        <v>31479876</v>
      </c>
      <c r="E49" s="96">
        <f>'WARD DATA'!D109</f>
        <v>59.4</v>
      </c>
      <c r="F49" s="67">
        <f>'WARD DATA'!E108</f>
        <v>3143819</v>
      </c>
      <c r="G49" s="100">
        <f>'WARD DATA'!E109</f>
        <v>59.5</v>
      </c>
      <c r="H49" s="68">
        <f>'WARD DATA'!F108</f>
        <v>158287</v>
      </c>
      <c r="I49" s="96">
        <f>'WARD DATA'!F109</f>
        <v>68.5</v>
      </c>
      <c r="J49" s="75">
        <f>HLOOKUP($B$2,'WARD DATA'!$A$1:$AA$533,108,1)</f>
        <v>7561</v>
      </c>
      <c r="K49" s="69">
        <f>HLOOKUP($B$2,'WARD DATA'!$A$1:$AA$533,109,1)</f>
        <v>66.8</v>
      </c>
      <c r="L49" s="61"/>
    </row>
    <row r="50" spans="1:12" hidden="1" x14ac:dyDescent="0.2">
      <c r="A50" s="28"/>
      <c r="B50" s="91" t="s">
        <v>245</v>
      </c>
      <c r="C50" s="66"/>
      <c r="D50" s="67">
        <f>'WARD DATA'!D110</f>
        <v>238626</v>
      </c>
      <c r="E50" s="96">
        <f>'WARD DATA'!D111</f>
        <v>0.5</v>
      </c>
      <c r="F50" s="67">
        <f>'WARD DATA'!E110</f>
        <v>14319</v>
      </c>
      <c r="G50" s="100">
        <f>'WARD DATA'!E111</f>
        <v>0.3</v>
      </c>
      <c r="H50" s="68">
        <f>'WARD DATA'!F110</f>
        <v>344</v>
      </c>
      <c r="I50" s="96">
        <f>'WARD DATA'!F111</f>
        <v>0.1</v>
      </c>
      <c r="J50" s="75">
        <f>HLOOKUP($B$2,'WARD DATA'!$A$1:$AA$533,110,1)</f>
        <v>27</v>
      </c>
      <c r="K50" s="69">
        <f>HLOOKUP($B$2,'WARD DATA'!$A$1:$AA$533,111,1)</f>
        <v>0.2</v>
      </c>
      <c r="L50" s="61"/>
    </row>
    <row r="51" spans="1:12" hidden="1" x14ac:dyDescent="0.2">
      <c r="A51" s="28"/>
      <c r="B51" s="91" t="s">
        <v>246</v>
      </c>
      <c r="C51" s="66"/>
      <c r="D51" s="67">
        <f>'WARD DATA'!D112</f>
        <v>806199</v>
      </c>
      <c r="E51" s="96">
        <f>'WARD DATA'!D113</f>
        <v>1.5</v>
      </c>
      <c r="F51" s="67">
        <f>'WARD DATA'!E112</f>
        <v>24074</v>
      </c>
      <c r="G51" s="100">
        <f>'WARD DATA'!E113</f>
        <v>0.5</v>
      </c>
      <c r="H51" s="68">
        <f>'WARD DATA'!F112</f>
        <v>232</v>
      </c>
      <c r="I51" s="96">
        <f>'WARD DATA'!F113</f>
        <v>0.1</v>
      </c>
      <c r="J51" s="75">
        <f>HLOOKUP($B$2,'WARD DATA'!$A$1:$AA$533,112,1)</f>
        <v>1</v>
      </c>
      <c r="K51" s="69">
        <f>HLOOKUP($B$2,'WARD DATA'!$A$1:$AA$533,113,1)</f>
        <v>0</v>
      </c>
      <c r="L51" s="61"/>
    </row>
    <row r="52" spans="1:12" hidden="1" x14ac:dyDescent="0.2">
      <c r="A52" s="28"/>
      <c r="B52" s="91" t="s">
        <v>247</v>
      </c>
      <c r="C52" s="66"/>
      <c r="D52" s="67">
        <f>'WARD DATA'!D114</f>
        <v>261282</v>
      </c>
      <c r="E52" s="96">
        <f>'WARD DATA'!D115</f>
        <v>0.5</v>
      </c>
      <c r="F52" s="67">
        <f>'WARD DATA'!E114</f>
        <v>9929</v>
      </c>
      <c r="G52" s="100">
        <f>'WARD DATA'!E115</f>
        <v>0.2</v>
      </c>
      <c r="H52" s="68">
        <f>'WARD DATA'!F114</f>
        <v>49</v>
      </c>
      <c r="I52" s="96">
        <f>'WARD DATA'!F115</f>
        <v>0</v>
      </c>
      <c r="J52" s="75">
        <f>HLOOKUP($B$2,'WARD DATA'!$A$1:$AA$533,114,1)</f>
        <v>3</v>
      </c>
      <c r="K52" s="69">
        <f>HLOOKUP($B$2,'WARD DATA'!$A$1:$AA$533,115,1)</f>
        <v>0</v>
      </c>
      <c r="L52" s="61"/>
    </row>
    <row r="53" spans="1:12" hidden="1" x14ac:dyDescent="0.2">
      <c r="A53" s="28"/>
      <c r="B53" s="91" t="s">
        <v>248</v>
      </c>
      <c r="C53" s="66"/>
      <c r="D53" s="67">
        <f>'WARD DATA'!D116</f>
        <v>2660116</v>
      </c>
      <c r="E53" s="96">
        <f>'WARD DATA'!D117</f>
        <v>5</v>
      </c>
      <c r="F53" s="67">
        <f>'WARD DATA'!E116</f>
        <v>326050</v>
      </c>
      <c r="G53" s="100">
        <f>'WARD DATA'!E117</f>
        <v>6.2</v>
      </c>
      <c r="H53" s="68">
        <f>'WARD DATA'!F116</f>
        <v>945</v>
      </c>
      <c r="I53" s="96">
        <f>'WARD DATA'!F117</f>
        <v>0.4</v>
      </c>
      <c r="J53" s="75">
        <f>HLOOKUP($B$2,'WARD DATA'!$A$1:$AA$533,116,1)</f>
        <v>8</v>
      </c>
      <c r="K53" s="69">
        <f>HLOOKUP($B$2,'WARD DATA'!$A$1:$AA$533,117,1)</f>
        <v>0.1</v>
      </c>
      <c r="L53" s="61"/>
    </row>
    <row r="54" spans="1:12" hidden="1" x14ac:dyDescent="0.2">
      <c r="A54" s="28"/>
      <c r="B54" s="91" t="s">
        <v>249</v>
      </c>
      <c r="C54" s="66"/>
      <c r="D54" s="67">
        <f>'WARD DATA'!D118</f>
        <v>420196</v>
      </c>
      <c r="E54" s="96">
        <f>'WARD DATA'!D119</f>
        <v>0.8</v>
      </c>
      <c r="F54" s="67">
        <f>'WARD DATA'!E118</f>
        <v>22179</v>
      </c>
      <c r="G54" s="100">
        <f>'WARD DATA'!E119</f>
        <v>0.4</v>
      </c>
      <c r="H54" s="68">
        <f>'WARD DATA'!F118</f>
        <v>197</v>
      </c>
      <c r="I54" s="96">
        <f>'WARD DATA'!F119</f>
        <v>0.1</v>
      </c>
      <c r="J54" s="75">
        <f>HLOOKUP($B$2,'WARD DATA'!$A$1:$AA$533,118,1)</f>
        <v>17</v>
      </c>
      <c r="K54" s="69">
        <f>HLOOKUP($B$2,'WARD DATA'!$A$1:$AA$533,119,1)</f>
        <v>0.2</v>
      </c>
      <c r="L54" s="61"/>
    </row>
    <row r="55" spans="1:12" hidden="1" x14ac:dyDescent="0.2">
      <c r="A55" s="28"/>
      <c r="B55" s="91" t="s">
        <v>250</v>
      </c>
      <c r="C55" s="66"/>
      <c r="D55" s="67">
        <f>'WARD DATA'!D120</f>
        <v>227825</v>
      </c>
      <c r="E55" s="96">
        <f>'WARD DATA'!D121</f>
        <v>0.4</v>
      </c>
      <c r="F55" s="67">
        <f>'WARD DATA'!E120</f>
        <v>1617</v>
      </c>
      <c r="G55" s="100">
        <f>'WARD DATA'!E121</f>
        <v>0.3</v>
      </c>
      <c r="H55" s="68">
        <f>'WARD DATA'!F120</f>
        <v>623</v>
      </c>
      <c r="I55" s="96">
        <f>'WARD DATA'!F121</f>
        <v>0.3</v>
      </c>
      <c r="J55" s="75">
        <f>HLOOKUP($B$2,'WARD DATA'!$A$1:$AA$533,120,1)</f>
        <v>47</v>
      </c>
      <c r="K55" s="69">
        <f>HLOOKUP($B$2,'WARD DATA'!$A$1:$AA$533,121,1)</f>
        <v>0.4</v>
      </c>
      <c r="L55" s="61"/>
    </row>
    <row r="56" spans="1:12" hidden="1" x14ac:dyDescent="0.2">
      <c r="A56" s="28"/>
      <c r="B56" s="91" t="s">
        <v>251</v>
      </c>
      <c r="C56" s="66"/>
      <c r="D56" s="67">
        <f>'WARD DATA'!D122</f>
        <v>1314232</v>
      </c>
      <c r="E56" s="96">
        <f>'WARD DATA'!D123</f>
        <v>24.7</v>
      </c>
      <c r="F56" s="67">
        <f>'WARD DATA'!E122</f>
        <v>1366219</v>
      </c>
      <c r="G56" s="100">
        <f>'WARD DATA'!E123</f>
        <v>25.9</v>
      </c>
      <c r="H56" s="68">
        <f>'WARD DATA'!F122</f>
        <v>55536</v>
      </c>
      <c r="I56" s="96">
        <f>'WARD DATA'!F123</f>
        <v>24</v>
      </c>
      <c r="J56" s="75">
        <f>HLOOKUP($B$2,'WARD DATA'!$A$1:$AA$533,122,1)</f>
        <v>2889</v>
      </c>
      <c r="K56" s="69">
        <f>HLOOKUP($B$2,'WARD DATA'!$A$1:$AA$533,123,1)</f>
        <v>25.5</v>
      </c>
      <c r="L56" s="61"/>
    </row>
    <row r="57" spans="1:12" hidden="1" x14ac:dyDescent="0.2">
      <c r="A57" s="29"/>
      <c r="B57" s="92" t="s">
        <v>252</v>
      </c>
      <c r="C57" s="70"/>
      <c r="D57" s="71">
        <f>'WARD DATA'!D124</f>
        <v>3804104</v>
      </c>
      <c r="E57" s="97">
        <f>'WARD DATA'!D125</f>
        <v>7.2</v>
      </c>
      <c r="F57" s="71">
        <f>'WARD DATA'!E124</f>
        <v>360627</v>
      </c>
      <c r="G57" s="101">
        <f>'WARD DATA'!E125</f>
        <v>6.8</v>
      </c>
      <c r="H57" s="72">
        <f>'WARD DATA'!F124</f>
        <v>15008</v>
      </c>
      <c r="I57" s="97">
        <f>'WARD DATA'!F125</f>
        <v>6.5</v>
      </c>
      <c r="J57" s="76">
        <f>HLOOKUP($B$2,'WARD DATA'!$A$1:$AA$533,124,1)</f>
        <v>769</v>
      </c>
      <c r="K57" s="73">
        <f>HLOOKUP($B$2,'WARD DATA'!$A$1:$AA$533,125,1)</f>
        <v>6.8</v>
      </c>
      <c r="L57" s="61"/>
    </row>
    <row r="58" spans="1:12" hidden="1" x14ac:dyDescent="0.2">
      <c r="A58" s="104"/>
      <c r="B58" s="91"/>
      <c r="D58" s="47"/>
      <c r="E58" s="96"/>
      <c r="F58" s="47"/>
      <c r="G58" s="100"/>
      <c r="H58" s="20"/>
      <c r="I58" s="96"/>
      <c r="J58" s="53"/>
      <c r="K58" s="69"/>
      <c r="L58" s="61"/>
    </row>
    <row r="59" spans="1:12" hidden="1" x14ac:dyDescent="0.2">
      <c r="A59" s="27" t="s">
        <v>239</v>
      </c>
      <c r="B59" s="93" t="s">
        <v>56</v>
      </c>
      <c r="C59" s="62"/>
      <c r="D59" s="63">
        <f>'WARD DATA'!D126</f>
        <v>53012456</v>
      </c>
      <c r="E59" s="95">
        <f>'WARD DATA'!D127</f>
        <v>100</v>
      </c>
      <c r="F59" s="63">
        <f>'WARD DATA'!E126</f>
        <v>5283733</v>
      </c>
      <c r="G59" s="99">
        <f>'WARD DATA'!E127</f>
        <v>100</v>
      </c>
      <c r="H59" s="64">
        <f>'WARD DATA'!F126</f>
        <v>231221</v>
      </c>
      <c r="I59" s="95">
        <f>'WARD DATA'!F127</f>
        <v>100</v>
      </c>
      <c r="J59" s="74">
        <f>HLOOKUP($B$2,'WARD DATA'!$A$1:$AA$533,126,1)</f>
        <v>11322</v>
      </c>
      <c r="K59" s="65">
        <f>HLOOKUP($B$2,'WARD DATA'!$A$1:$AA$533,127,1)</f>
        <v>100</v>
      </c>
      <c r="L59" s="61"/>
    </row>
    <row r="60" spans="1:12" hidden="1" x14ac:dyDescent="0.2">
      <c r="A60" s="28"/>
      <c r="B60" s="91" t="s">
        <v>214</v>
      </c>
      <c r="C60" s="66"/>
      <c r="D60" s="67">
        <f>'WARD DATA'!D128</f>
        <v>8770532</v>
      </c>
      <c r="E60" s="96">
        <f>'WARD DATA'!D129</f>
        <v>16.5</v>
      </c>
      <c r="F60" s="67">
        <f>'WARD DATA'!E128</f>
        <v>1025490</v>
      </c>
      <c r="G60" s="100">
        <f>'WARD DATA'!E129</f>
        <v>19.399999999999999</v>
      </c>
      <c r="H60" s="68">
        <f>'WARD DATA'!F128</f>
        <v>54017</v>
      </c>
      <c r="I60" s="96">
        <f>'WARD DATA'!F129</f>
        <v>23.4</v>
      </c>
      <c r="J60" s="75">
        <f>HLOOKUP($B$2,'WARD DATA'!$A$1:$AA$533,128,1)</f>
        <v>2022</v>
      </c>
      <c r="K60" s="69">
        <f>HLOOKUP($B$2,'WARD DATA'!$A$1:$AA$533,129,1)</f>
        <v>17.899999999999999</v>
      </c>
      <c r="L60" s="61"/>
    </row>
    <row r="61" spans="1:12" hidden="1" x14ac:dyDescent="0.2">
      <c r="A61" s="28"/>
      <c r="B61" s="91" t="s">
        <v>215</v>
      </c>
      <c r="C61" s="66"/>
      <c r="D61" s="67">
        <f>'WARD DATA'!D130</f>
        <v>44854575</v>
      </c>
      <c r="E61" s="96">
        <f>'WARD DATA'!D131</f>
        <v>84.6</v>
      </c>
      <c r="F61" s="67">
        <f>'WARD DATA'!E130</f>
        <v>4290090</v>
      </c>
      <c r="G61" s="100">
        <f>'WARD DATA'!E131</f>
        <v>81.2</v>
      </c>
      <c r="H61" s="68">
        <f>'WARD DATA'!F130</f>
        <v>177623</v>
      </c>
      <c r="I61" s="96">
        <f>'WARD DATA'!F131</f>
        <v>76.8</v>
      </c>
      <c r="J61" s="75">
        <f>HLOOKUP($B$2,'WARD DATA'!$A$1:$AA$533,130,1)</f>
        <v>9323</v>
      </c>
      <c r="K61" s="69">
        <f>HLOOKUP($B$2,'WARD DATA'!$A$1:$AA$533,131,1)</f>
        <v>82.3</v>
      </c>
      <c r="L61" s="61"/>
    </row>
    <row r="62" spans="1:12" hidden="1" x14ac:dyDescent="0.2">
      <c r="A62" s="28"/>
      <c r="B62" s="91" t="s">
        <v>57</v>
      </c>
      <c r="C62" s="66"/>
      <c r="D62" s="67">
        <f>'WARD DATA'!D132</f>
        <v>40174490</v>
      </c>
      <c r="E62" s="96">
        <f>'WARD DATA'!D133</f>
        <v>75.8</v>
      </c>
      <c r="F62" s="67">
        <f>'WARD DATA'!E132</f>
        <v>4021873</v>
      </c>
      <c r="G62" s="100">
        <f>'WARD DATA'!E133</f>
        <v>76.099999999999994</v>
      </c>
      <c r="H62" s="68">
        <f>'WARD DATA'!F132</f>
        <v>173007</v>
      </c>
      <c r="I62" s="96">
        <f>'WARD DATA'!F133</f>
        <v>74.8</v>
      </c>
      <c r="J62" s="75">
        <f>HLOOKUP($B$2,'WARD DATA'!$A$1:$AA$533,132,1)</f>
        <v>9178</v>
      </c>
      <c r="K62" s="69">
        <f>HLOOKUP($B$2,'WARD DATA'!$A$1:$AA$533,133,1)</f>
        <v>81.099999999999994</v>
      </c>
      <c r="L62" s="61"/>
    </row>
    <row r="63" spans="1:12" hidden="1" x14ac:dyDescent="0.2">
      <c r="A63" s="28"/>
      <c r="B63" s="91" t="s">
        <v>216</v>
      </c>
      <c r="C63" s="66"/>
      <c r="D63" s="67">
        <f>'WARD DATA'!D134</f>
        <v>398394</v>
      </c>
      <c r="E63" s="96">
        <f>'WARD DATA'!D135</f>
        <v>0.8</v>
      </c>
      <c r="F63" s="67">
        <f>'WARD DATA'!E134</f>
        <v>17290</v>
      </c>
      <c r="G63" s="100">
        <f>'WARD DATA'!E135</f>
        <v>0.3</v>
      </c>
      <c r="H63" s="68">
        <f>'WARD DATA'!F134</f>
        <v>358</v>
      </c>
      <c r="I63" s="96">
        <f>'WARD DATA'!F135</f>
        <v>0.2</v>
      </c>
      <c r="J63" s="75">
        <f>HLOOKUP($B$2,'WARD DATA'!$A$1:$AA$533,134,1)</f>
        <v>19</v>
      </c>
      <c r="K63" s="69">
        <f>HLOOKUP($B$2,'WARD DATA'!$A$1:$AA$533,135,1)</f>
        <v>0.2</v>
      </c>
      <c r="L63" s="61"/>
    </row>
    <row r="64" spans="1:12" hidden="1" x14ac:dyDescent="0.2">
      <c r="A64" s="28"/>
      <c r="B64" s="91" t="s">
        <v>217</v>
      </c>
      <c r="C64" s="66"/>
      <c r="D64" s="67">
        <f>'WARD DATA'!D136</f>
        <v>1897747</v>
      </c>
      <c r="E64" s="96">
        <f>'WARD DATA'!D137</f>
        <v>3.6</v>
      </c>
      <c r="F64" s="67">
        <f>'WARD DATA'!E136</f>
        <v>108001</v>
      </c>
      <c r="G64" s="100">
        <f>'WARD DATA'!E137</f>
        <v>2</v>
      </c>
      <c r="H64" s="68">
        <f>'WARD DATA'!F136</f>
        <v>2609</v>
      </c>
      <c r="I64" s="96">
        <f>'WARD DATA'!F137</f>
        <v>1.1000000000000001</v>
      </c>
      <c r="J64" s="75">
        <f>HLOOKUP($B$2,'WARD DATA'!$A$1:$AA$533,136,1)</f>
        <v>64</v>
      </c>
      <c r="K64" s="69">
        <f>HLOOKUP($B$2,'WARD DATA'!$A$1:$AA$533,137,1)</f>
        <v>0.6</v>
      </c>
      <c r="L64" s="61"/>
    </row>
    <row r="65" spans="1:12" hidden="1" x14ac:dyDescent="0.2">
      <c r="A65" s="28"/>
      <c r="B65" s="91" t="s">
        <v>218</v>
      </c>
      <c r="C65" s="66"/>
      <c r="D65" s="67">
        <f>'WARD DATA'!D138</f>
        <v>146451</v>
      </c>
      <c r="E65" s="96">
        <f>'WARD DATA'!D139</f>
        <v>0.3</v>
      </c>
      <c r="F65" s="67">
        <f>'WARD DATA'!E138</f>
        <v>5811</v>
      </c>
      <c r="G65" s="100">
        <f>'WARD DATA'!E139</f>
        <v>0.1</v>
      </c>
      <c r="H65" s="68">
        <f>'WARD DATA'!F138</f>
        <v>153</v>
      </c>
      <c r="I65" s="96">
        <f>'WARD DATA'!F139</f>
        <v>0.1</v>
      </c>
      <c r="J65" s="75">
        <f>HLOOKUP($B$2,'WARD DATA'!$A$1:$AA$533,138,1)</f>
        <v>3</v>
      </c>
      <c r="K65" s="69">
        <f>HLOOKUP($B$2,'WARD DATA'!$A$1:$AA$533,139,1)</f>
        <v>0</v>
      </c>
      <c r="L65" s="61"/>
    </row>
    <row r="66" spans="1:12" hidden="1" x14ac:dyDescent="0.2">
      <c r="A66" s="28"/>
      <c r="B66" s="91" t="s">
        <v>219</v>
      </c>
      <c r="C66" s="66"/>
      <c r="D66" s="67">
        <f>'WARD DATA'!D140</f>
        <v>511740</v>
      </c>
      <c r="E66" s="96">
        <f>'WARD DATA'!D141</f>
        <v>1</v>
      </c>
      <c r="F66" s="67">
        <f>'WARD DATA'!E140</f>
        <v>27018</v>
      </c>
      <c r="G66" s="100">
        <f>'WARD DATA'!E141</f>
        <v>0.5</v>
      </c>
      <c r="H66" s="68">
        <f>'WARD DATA'!F140</f>
        <v>530</v>
      </c>
      <c r="I66" s="96">
        <f>'WARD DATA'!F141</f>
        <v>0.2</v>
      </c>
      <c r="J66" s="75">
        <f>HLOOKUP($B$2,'WARD DATA'!$A$1:$AA$533,140,1)</f>
        <v>9</v>
      </c>
      <c r="K66" s="69">
        <f>HLOOKUP($B$2,'WARD DATA'!$A$1:$AA$533,141,1)</f>
        <v>0.1</v>
      </c>
      <c r="L66" s="61"/>
    </row>
    <row r="67" spans="1:12" hidden="1" x14ac:dyDescent="0.2">
      <c r="A67" s="28"/>
      <c r="B67" s="91" t="s">
        <v>220</v>
      </c>
      <c r="C67" s="66"/>
      <c r="D67" s="67">
        <f>'WARD DATA'!D142</f>
        <v>1105306</v>
      </c>
      <c r="E67" s="96">
        <f>'WARD DATA'!D143</f>
        <v>2.1</v>
      </c>
      <c r="F67" s="67">
        <f>'WARD DATA'!E142</f>
        <v>85669</v>
      </c>
      <c r="G67" s="100">
        <f>'WARD DATA'!E143</f>
        <v>1.6</v>
      </c>
      <c r="H67" s="68">
        <f>'WARD DATA'!F142</f>
        <v>606</v>
      </c>
      <c r="I67" s="96">
        <f>'WARD DATA'!F143</f>
        <v>0.3</v>
      </c>
      <c r="J67" s="75">
        <f>HLOOKUP($B$2,'WARD DATA'!$A$1:$AA$533,142,1)</f>
        <v>19</v>
      </c>
      <c r="K67" s="69">
        <f>HLOOKUP($B$2,'WARD DATA'!$A$1:$AA$533,143,1)</f>
        <v>0.2</v>
      </c>
      <c r="L67" s="61"/>
    </row>
    <row r="68" spans="1:12" hidden="1" x14ac:dyDescent="0.2">
      <c r="A68" s="28"/>
      <c r="B68" s="91" t="s">
        <v>221</v>
      </c>
      <c r="C68" s="66"/>
      <c r="D68" s="67">
        <f>'WARD DATA'!D144</f>
        <v>329733</v>
      </c>
      <c r="E68" s="96">
        <f>'WARD DATA'!D145</f>
        <v>0.6</v>
      </c>
      <c r="F68" s="67">
        <f>'WARD DATA'!E144</f>
        <v>14412</v>
      </c>
      <c r="G68" s="100">
        <f>'WARD DATA'!E145</f>
        <v>0.3</v>
      </c>
      <c r="H68" s="68">
        <f>'WARD DATA'!F144</f>
        <v>189</v>
      </c>
      <c r="I68" s="96">
        <f>'WARD DATA'!F145</f>
        <v>0.1</v>
      </c>
      <c r="J68" s="75">
        <f>HLOOKUP($B$2,'WARD DATA'!$A$1:$AA$533,144,1)</f>
        <v>14</v>
      </c>
      <c r="K68" s="69">
        <f>HLOOKUP($B$2,'WARD DATA'!$A$1:$AA$533,145,1)</f>
        <v>0.1</v>
      </c>
      <c r="L68" s="61"/>
    </row>
    <row r="69" spans="1:12" hidden="1" x14ac:dyDescent="0.2">
      <c r="A69" s="28"/>
      <c r="B69" s="91" t="s">
        <v>222</v>
      </c>
      <c r="C69" s="66"/>
      <c r="D69" s="67">
        <f>'WARD DATA'!D146</f>
        <v>8995</v>
      </c>
      <c r="E69" s="96">
        <f>'WARD DATA'!D147</f>
        <v>0</v>
      </c>
      <c r="F69" s="67">
        <f>'WARD DATA'!E146</f>
        <v>570</v>
      </c>
      <c r="G69" s="100">
        <f>'WARD DATA'!E147</f>
        <v>0</v>
      </c>
      <c r="H69" s="68">
        <f>'WARD DATA'!F146</f>
        <v>6</v>
      </c>
      <c r="I69" s="96">
        <f>'WARD DATA'!F147</f>
        <v>0</v>
      </c>
      <c r="J69" s="75">
        <f>HLOOKUP($B$2,'WARD DATA'!$A$1:$AA$533,146,1)</f>
        <v>0</v>
      </c>
      <c r="K69" s="69">
        <f>HLOOKUP($B$2,'WARD DATA'!$A$1:$AA$533,147,1)</f>
        <v>0</v>
      </c>
      <c r="L69" s="61"/>
    </row>
    <row r="70" spans="1:12" hidden="1" x14ac:dyDescent="0.2">
      <c r="A70" s="28"/>
      <c r="B70" s="91" t="s">
        <v>223</v>
      </c>
      <c r="C70" s="66"/>
      <c r="D70" s="67">
        <f>'WARD DATA'!D148</f>
        <v>73390</v>
      </c>
      <c r="E70" s="96">
        <f>'WARD DATA'!D149</f>
        <v>0.1</v>
      </c>
      <c r="F70" s="67">
        <f>'WARD DATA'!E148</f>
        <v>1670</v>
      </c>
      <c r="G70" s="100">
        <f>'WARD DATA'!E149</f>
        <v>0</v>
      </c>
      <c r="H70" s="68">
        <f>'WARD DATA'!F148</f>
        <v>31</v>
      </c>
      <c r="I70" s="96">
        <f>'WARD DATA'!F149</f>
        <v>0</v>
      </c>
      <c r="J70" s="75">
        <f>HLOOKUP($B$2,'WARD DATA'!$A$1:$AA$533,148,1)</f>
        <v>10</v>
      </c>
      <c r="K70" s="69">
        <f>HLOOKUP($B$2,'WARD DATA'!$A$1:$AA$533,149,1)</f>
        <v>0.1</v>
      </c>
      <c r="L70" s="61"/>
    </row>
    <row r="71" spans="1:12" hidden="1" x14ac:dyDescent="0.2">
      <c r="A71" s="28"/>
      <c r="B71" s="91" t="s">
        <v>224</v>
      </c>
      <c r="C71" s="66"/>
      <c r="D71" s="67">
        <f>'WARD DATA'!D150</f>
        <v>206256</v>
      </c>
      <c r="E71" s="96">
        <f>'WARD DATA'!D151</f>
        <v>0.4</v>
      </c>
      <c r="F71" s="67">
        <f>'WARD DATA'!E150</f>
        <v>7661</v>
      </c>
      <c r="G71" s="100">
        <f>'WARD DATA'!E151</f>
        <v>0.1</v>
      </c>
      <c r="H71" s="68">
        <f>'WARD DATA'!F150</f>
        <v>131</v>
      </c>
      <c r="I71" s="96">
        <f>'WARD DATA'!F151</f>
        <v>0.1</v>
      </c>
      <c r="J71" s="75">
        <f>HLOOKUP($B$2,'WARD DATA'!$A$1:$AA$533,150,1)</f>
        <v>7</v>
      </c>
      <c r="K71" s="69">
        <f>HLOOKUP($B$2,'WARD DATA'!$A$1:$AA$533,151,1)</f>
        <v>0.1</v>
      </c>
      <c r="L71" s="61"/>
    </row>
    <row r="72" spans="1:12" hidden="1" x14ac:dyDescent="0.2">
      <c r="A72" s="29"/>
      <c r="B72" s="92" t="s">
        <v>225</v>
      </c>
      <c r="C72" s="70"/>
      <c r="D72" s="71">
        <f>'WARD DATA'!D152</f>
        <v>2073</v>
      </c>
      <c r="E72" s="97">
        <f>'WARD DATA'!D153</f>
        <v>0</v>
      </c>
      <c r="F72" s="71">
        <f>'WARD DATA'!E152</f>
        <v>115</v>
      </c>
      <c r="G72" s="101">
        <f>'WARD DATA'!E153</f>
        <v>0</v>
      </c>
      <c r="H72" s="72">
        <f>'WARD DATA'!F152</f>
        <v>3</v>
      </c>
      <c r="I72" s="97">
        <f>'WARD DATA'!F153</f>
        <v>0</v>
      </c>
      <c r="J72" s="76">
        <f>HLOOKUP($B$2,'WARD DATA'!$A$1:$AA$533,152,1)</f>
        <v>0</v>
      </c>
      <c r="K72" s="73">
        <f>HLOOKUP($B$2,'WARD DATA'!$A$1:$AA$533,153,1)</f>
        <v>0</v>
      </c>
      <c r="L72" s="61"/>
    </row>
    <row r="73" spans="1:12" hidden="1" x14ac:dyDescent="0.2">
      <c r="A73" s="104"/>
      <c r="B73" s="91"/>
      <c r="D73" s="47"/>
      <c r="E73" s="96"/>
      <c r="F73" s="47"/>
      <c r="G73" s="100"/>
      <c r="H73" s="20"/>
      <c r="I73" s="96"/>
      <c r="J73" s="53"/>
      <c r="K73" s="69"/>
      <c r="L73" s="61"/>
    </row>
    <row r="74" spans="1:12" hidden="1" x14ac:dyDescent="0.2">
      <c r="A74" s="27" t="s">
        <v>370</v>
      </c>
      <c r="B74" s="93" t="s">
        <v>131</v>
      </c>
      <c r="C74" s="62"/>
      <c r="D74" s="63">
        <f>'WARD DATA'!D154</f>
        <v>22063368</v>
      </c>
      <c r="E74" s="95">
        <f>'WARD DATA'!D155</f>
        <v>100</v>
      </c>
      <c r="F74" s="63">
        <f>'WARD DATA'!E154</f>
        <v>2224059</v>
      </c>
      <c r="G74" s="99">
        <f>'WARD DATA'!E155</f>
        <v>100</v>
      </c>
      <c r="H74" s="64">
        <f>'WARD DATA'!F154</f>
        <v>100734</v>
      </c>
      <c r="I74" s="95">
        <f>'WARD DATA'!F155</f>
        <v>100</v>
      </c>
      <c r="J74" s="74">
        <f>HLOOKUP($B$2,'WARD DATA'!$A$1:$AA$533,154,1)</f>
        <v>4878</v>
      </c>
      <c r="K74" s="65">
        <f>HLOOKUP($B$2,'WARD DATA'!$A$1:$AA$533,155,1)</f>
        <v>100</v>
      </c>
      <c r="L74" s="61"/>
    </row>
    <row r="75" spans="1:12" ht="25.5" hidden="1" x14ac:dyDescent="0.2">
      <c r="A75" s="28" t="s">
        <v>372</v>
      </c>
      <c r="B75" s="91" t="s">
        <v>132</v>
      </c>
      <c r="C75" s="66"/>
      <c r="D75" s="67">
        <f>'WARD DATA'!D156</f>
        <v>20053717</v>
      </c>
      <c r="E75" s="96">
        <f>'WARD DATA'!D157</f>
        <v>90.9</v>
      </c>
      <c r="F75" s="67">
        <f>'WARD DATA'!E156</f>
        <v>2076948</v>
      </c>
      <c r="G75" s="100">
        <f>'WARD DATA'!E157</f>
        <v>93.4</v>
      </c>
      <c r="H75" s="68">
        <f>'WARD DATA'!F156</f>
        <v>98416</v>
      </c>
      <c r="I75" s="96">
        <f>'WARD DATA'!F157</f>
        <v>97.7</v>
      </c>
      <c r="J75" s="75">
        <f>HLOOKUP($B$2,'WARD DATA'!$A$1:$AA$533,156,1)</f>
        <v>4818</v>
      </c>
      <c r="K75" s="69">
        <f>HLOOKUP($B$2,'WARD DATA'!$A$1:$AA$533,157,1)</f>
        <v>98.8</v>
      </c>
      <c r="L75" s="61"/>
    </row>
    <row r="76" spans="1:12" ht="25.5" hidden="1" x14ac:dyDescent="0.2">
      <c r="A76" s="28"/>
      <c r="B76" s="91" t="s">
        <v>133</v>
      </c>
      <c r="C76" s="66"/>
      <c r="D76" s="67">
        <f>'WARD DATA'!D158</f>
        <v>850510</v>
      </c>
      <c r="E76" s="96">
        <f>'WARD DATA'!D159</f>
        <v>3.9</v>
      </c>
      <c r="F76" s="67">
        <f>'WARD DATA'!E158</f>
        <v>64179</v>
      </c>
      <c r="G76" s="100">
        <f>'WARD DATA'!E159</f>
        <v>2.9</v>
      </c>
      <c r="H76" s="68">
        <f>'WARD DATA'!F158</f>
        <v>813</v>
      </c>
      <c r="I76" s="96">
        <f>'WARD DATA'!F159</f>
        <v>0.8</v>
      </c>
      <c r="J76" s="75">
        <f>HLOOKUP($B$2,'WARD DATA'!$A$1:$AA$533,158,1)</f>
        <v>39</v>
      </c>
      <c r="K76" s="69">
        <f>HLOOKUP($B$2,'WARD DATA'!$A$1:$AA$533,159,1)</f>
        <v>0.8</v>
      </c>
      <c r="L76" s="61"/>
    </row>
    <row r="77" spans="1:12" ht="25.5" hidden="1" x14ac:dyDescent="0.2">
      <c r="A77" s="28"/>
      <c r="B77" s="91" t="s">
        <v>134</v>
      </c>
      <c r="C77" s="66"/>
      <c r="D77" s="67">
        <f>'WARD DATA'!D160</f>
        <v>178838</v>
      </c>
      <c r="E77" s="96">
        <f>'WARD DATA'!D161</f>
        <v>0.8</v>
      </c>
      <c r="F77" s="67">
        <f>'WARD DATA'!E160</f>
        <v>11773</v>
      </c>
      <c r="G77" s="100">
        <f>'WARD DATA'!E161</f>
        <v>0.5</v>
      </c>
      <c r="H77" s="68">
        <f>'WARD DATA'!F160</f>
        <v>166</v>
      </c>
      <c r="I77" s="96">
        <f>'WARD DATA'!F161</f>
        <v>0.2</v>
      </c>
      <c r="J77" s="75">
        <f>HLOOKUP($B$2,'WARD DATA'!$A$1:$AA$533,160,1)</f>
        <v>5</v>
      </c>
      <c r="K77" s="69">
        <f>HLOOKUP($B$2,'WARD DATA'!$A$1:$AA$533,161,1)</f>
        <v>0.1</v>
      </c>
      <c r="L77" s="61"/>
    </row>
    <row r="78" spans="1:12" ht="25.5" hidden="1" x14ac:dyDescent="0.2">
      <c r="A78" s="29"/>
      <c r="B78" s="92" t="s">
        <v>135</v>
      </c>
      <c r="C78" s="70"/>
      <c r="D78" s="71">
        <f>'WARD DATA'!D162</f>
        <v>980303</v>
      </c>
      <c r="E78" s="97">
        <f>'WARD DATA'!D163</f>
        <v>4.4000000000000004</v>
      </c>
      <c r="F78" s="71">
        <f>'WARD DATA'!E162</f>
        <v>71159</v>
      </c>
      <c r="G78" s="101">
        <f>'WARD DATA'!E163</f>
        <v>3.2</v>
      </c>
      <c r="H78" s="72">
        <f>'WARD DATA'!F162</f>
        <v>1339</v>
      </c>
      <c r="I78" s="97">
        <f>'WARD DATA'!F163</f>
        <v>1.3</v>
      </c>
      <c r="J78" s="76">
        <f>HLOOKUP($B$2,'WARD DATA'!$A$1:$AA$533,162,1)</f>
        <v>16</v>
      </c>
      <c r="K78" s="73">
        <f>HLOOKUP($B$2,'WARD DATA'!$A$1:$AA$533,163,1)</f>
        <v>0.3</v>
      </c>
      <c r="L78" s="61"/>
    </row>
    <row r="79" spans="1:12" hidden="1" x14ac:dyDescent="0.2">
      <c r="A79" s="104"/>
      <c r="B79" s="91"/>
      <c r="D79" s="47"/>
      <c r="E79" s="96"/>
      <c r="F79" s="47"/>
      <c r="G79" s="100"/>
      <c r="H79" s="20"/>
      <c r="I79" s="96"/>
      <c r="J79" s="53"/>
      <c r="K79" s="69"/>
      <c r="L79" s="61"/>
    </row>
    <row r="80" spans="1:12" hidden="1" x14ac:dyDescent="0.2">
      <c r="A80" s="27" t="s">
        <v>187</v>
      </c>
      <c r="B80" s="93" t="s">
        <v>180</v>
      </c>
      <c r="C80" s="62"/>
      <c r="D80" s="63">
        <f>'WARD DATA'!D164</f>
        <v>42989620</v>
      </c>
      <c r="E80" s="95">
        <f>'WARD DATA'!D165</f>
        <v>100</v>
      </c>
      <c r="F80" s="63">
        <f>'WARD DATA'!E164</f>
        <v>4285941</v>
      </c>
      <c r="G80" s="99">
        <f>'WARD DATA'!E165</f>
        <v>100</v>
      </c>
      <c r="H80" s="64">
        <f>'WARD DATA'!F164</f>
        <v>188335</v>
      </c>
      <c r="I80" s="95">
        <f>'WARD DATA'!F165</f>
        <v>100</v>
      </c>
      <c r="J80" s="74">
        <f>HLOOKUP($B$2,'WARD DATA'!$A$1:$AA$533,164,1)</f>
        <v>9280</v>
      </c>
      <c r="K80" s="65">
        <f>HLOOKUP($B$2,'WARD DATA'!$A$1:$AA$533,165,1)</f>
        <v>100</v>
      </c>
      <c r="L80" s="61"/>
    </row>
    <row r="81" spans="1:12" hidden="1" x14ac:dyDescent="0.2">
      <c r="A81" s="28"/>
      <c r="B81" s="91" t="s">
        <v>181</v>
      </c>
      <c r="C81" s="66"/>
      <c r="D81" s="67">
        <f>'WARD DATA'!D166</f>
        <v>14889928</v>
      </c>
      <c r="E81" s="96">
        <f>'WARD DATA'!D167</f>
        <v>34.6</v>
      </c>
      <c r="F81" s="67">
        <f>'WARD DATA'!E166</f>
        <v>1453124</v>
      </c>
      <c r="G81" s="100">
        <f>'WARD DATA'!E167</f>
        <v>33.9</v>
      </c>
      <c r="H81" s="68">
        <f>'WARD DATA'!F166</f>
        <v>59269</v>
      </c>
      <c r="I81" s="96">
        <f>'WARD DATA'!F167</f>
        <v>31.5</v>
      </c>
      <c r="J81" s="75">
        <f>HLOOKUP($B$2,'WARD DATA'!$A$1:$AA$533,166,1)</f>
        <v>2484</v>
      </c>
      <c r="K81" s="69">
        <f>HLOOKUP($B$2,'WARD DATA'!$A$1:$AA$533,167,1)</f>
        <v>26.8</v>
      </c>
      <c r="L81" s="61"/>
    </row>
    <row r="82" spans="1:12" hidden="1" x14ac:dyDescent="0.2">
      <c r="A82" s="28"/>
      <c r="B82" s="91" t="s">
        <v>182</v>
      </c>
      <c r="C82" s="66"/>
      <c r="D82" s="67">
        <f>'WARD DATA'!D168</f>
        <v>20029369</v>
      </c>
      <c r="E82" s="96">
        <f>'WARD DATA'!D169</f>
        <v>46.6</v>
      </c>
      <c r="F82" s="67">
        <f>'WARD DATA'!E168</f>
        <v>2005463</v>
      </c>
      <c r="G82" s="100">
        <f>'WARD DATA'!E169</f>
        <v>46.8</v>
      </c>
      <c r="H82" s="68">
        <f>'WARD DATA'!F168</f>
        <v>89780</v>
      </c>
      <c r="I82" s="96">
        <f>'WARD DATA'!F169</f>
        <v>47.7</v>
      </c>
      <c r="J82" s="75">
        <f>HLOOKUP($B$2,'WARD DATA'!$A$1:$AA$533,168,1)</f>
        <v>5075</v>
      </c>
      <c r="K82" s="69">
        <f>HLOOKUP($B$2,'WARD DATA'!$A$1:$AA$533,169,1)</f>
        <v>54.7</v>
      </c>
      <c r="L82" s="61"/>
    </row>
    <row r="83" spans="1:12" hidden="1" x14ac:dyDescent="0.2">
      <c r="A83" s="28"/>
      <c r="B83" s="91" t="s">
        <v>183</v>
      </c>
      <c r="C83" s="66"/>
      <c r="D83" s="67">
        <f>'WARD DATA'!D170</f>
        <v>100288</v>
      </c>
      <c r="E83" s="96">
        <f>'WARD DATA'!D171</f>
        <v>0.2</v>
      </c>
      <c r="F83" s="67">
        <f>'WARD DATA'!E170</f>
        <v>8474</v>
      </c>
      <c r="G83" s="100">
        <f>'WARD DATA'!E171</f>
        <v>0.2</v>
      </c>
      <c r="H83" s="68">
        <f>'WARD DATA'!F170</f>
        <v>311</v>
      </c>
      <c r="I83" s="96">
        <f>'WARD DATA'!F171</f>
        <v>0.2</v>
      </c>
      <c r="J83" s="75">
        <f>HLOOKUP($B$2,'WARD DATA'!$A$1:$AA$533,170,1)</f>
        <v>14</v>
      </c>
      <c r="K83" s="69">
        <f>HLOOKUP($B$2,'WARD DATA'!$A$1:$AA$533,171,1)</f>
        <v>0.2</v>
      </c>
      <c r="L83" s="61"/>
    </row>
    <row r="84" spans="1:12" ht="25.5" hidden="1" x14ac:dyDescent="0.2">
      <c r="A84" s="28"/>
      <c r="B84" s="91" t="s">
        <v>184</v>
      </c>
      <c r="C84" s="66"/>
      <c r="D84" s="67">
        <f>'WARD DATA'!D172</f>
        <v>1141196</v>
      </c>
      <c r="E84" s="96">
        <f>'WARD DATA'!D173</f>
        <v>2.7</v>
      </c>
      <c r="F84" s="67">
        <f>'WARD DATA'!E172</f>
        <v>110247</v>
      </c>
      <c r="G84" s="100">
        <f>'WARD DATA'!E173</f>
        <v>2.6</v>
      </c>
      <c r="H84" s="68">
        <f>'WARD DATA'!F172</f>
        <v>4555</v>
      </c>
      <c r="I84" s="96">
        <f>'WARD DATA'!F173</f>
        <v>2.4</v>
      </c>
      <c r="J84" s="75">
        <f>HLOOKUP($B$2,'WARD DATA'!$A$1:$AA$533,172,1)</f>
        <v>225</v>
      </c>
      <c r="K84" s="69">
        <f>HLOOKUP($B$2,'WARD DATA'!$A$1:$AA$533,173,1)</f>
        <v>2.4</v>
      </c>
      <c r="L84" s="61"/>
    </row>
    <row r="85" spans="1:12" ht="25.5" hidden="1" x14ac:dyDescent="0.2">
      <c r="A85" s="28"/>
      <c r="B85" s="91" t="s">
        <v>185</v>
      </c>
      <c r="C85" s="66"/>
      <c r="D85" s="67">
        <f>'WARD DATA'!D174</f>
        <v>3857137</v>
      </c>
      <c r="E85" s="96">
        <f>'WARD DATA'!D175</f>
        <v>9</v>
      </c>
      <c r="F85" s="67">
        <f>'WARD DATA'!E174</f>
        <v>399528</v>
      </c>
      <c r="G85" s="100">
        <f>'WARD DATA'!E175</f>
        <v>9.3000000000000007</v>
      </c>
      <c r="H85" s="68">
        <f>'WARD DATA'!F174</f>
        <v>19798</v>
      </c>
      <c r="I85" s="96">
        <f>'WARD DATA'!F175</f>
        <v>10.5</v>
      </c>
      <c r="J85" s="75">
        <f>HLOOKUP($B$2,'WARD DATA'!$A$1:$AA$533,174,1)</f>
        <v>884</v>
      </c>
      <c r="K85" s="69">
        <f>HLOOKUP($B$2,'WARD DATA'!$A$1:$AA$533,175,1)</f>
        <v>9.5</v>
      </c>
      <c r="L85" s="61"/>
    </row>
    <row r="86" spans="1:12" hidden="1" x14ac:dyDescent="0.2">
      <c r="A86" s="29"/>
      <c r="B86" s="92" t="s">
        <v>186</v>
      </c>
      <c r="C86" s="70"/>
      <c r="D86" s="71">
        <f>'WARD DATA'!D176</f>
        <v>2971702</v>
      </c>
      <c r="E86" s="97">
        <f>'WARD DATA'!D177</f>
        <v>6.9</v>
      </c>
      <c r="F86" s="71">
        <f>'WARD DATA'!E176</f>
        <v>309105</v>
      </c>
      <c r="G86" s="101">
        <f>'WARD DATA'!E177</f>
        <v>7.2</v>
      </c>
      <c r="H86" s="72">
        <f>'WARD DATA'!F176</f>
        <v>14622</v>
      </c>
      <c r="I86" s="97">
        <f>'WARD DATA'!F177</f>
        <v>7.8</v>
      </c>
      <c r="J86" s="76">
        <f>HLOOKUP($B$2,'WARD DATA'!$A$1:$AA$533,176,1)</f>
        <v>598</v>
      </c>
      <c r="K86" s="73">
        <f>HLOOKUP($B$2,'WARD DATA'!$A$1:$AA$533,177,1)</f>
        <v>6.4</v>
      </c>
      <c r="L86" s="61"/>
    </row>
    <row r="87" spans="1:12" hidden="1" x14ac:dyDescent="0.2">
      <c r="A87" s="104"/>
      <c r="B87" s="91"/>
      <c r="D87" s="47"/>
      <c r="E87" s="96"/>
      <c r="F87" s="47"/>
      <c r="G87" s="100"/>
      <c r="H87" s="20"/>
      <c r="I87" s="96"/>
      <c r="J87" s="53"/>
      <c r="K87" s="69"/>
      <c r="L87" s="61"/>
    </row>
    <row r="88" spans="1:12" ht="14.25" hidden="1" customHeight="1" x14ac:dyDescent="0.2">
      <c r="A88" s="27" t="s">
        <v>349</v>
      </c>
      <c r="B88" s="93" t="s">
        <v>108</v>
      </c>
      <c r="C88" s="62"/>
      <c r="D88" s="63">
        <f>'WARD DATA'!D178</f>
        <v>53012456</v>
      </c>
      <c r="E88" s="95">
        <f>'WARD DATA'!D179</f>
        <v>100</v>
      </c>
      <c r="F88" s="63">
        <f>'WARD DATA'!E178</f>
        <v>5283733</v>
      </c>
      <c r="G88" s="99">
        <f>'WARD DATA'!E179</f>
        <v>100</v>
      </c>
      <c r="H88" s="64">
        <f>'WARD DATA'!F178</f>
        <v>231221</v>
      </c>
      <c r="I88" s="95">
        <f>'WARD DATA'!F179</f>
        <v>100</v>
      </c>
      <c r="J88" s="74">
        <f>HLOOKUP($B$2,'WARD DATA'!$A$1:$AA$533,178,1)</f>
        <v>11322</v>
      </c>
      <c r="K88" s="65">
        <f>HLOOKUP($B$2,'WARD DATA'!$A$1:$AA$533,179,1)</f>
        <v>100</v>
      </c>
      <c r="L88" s="61"/>
    </row>
    <row r="89" spans="1:12" hidden="1" x14ac:dyDescent="0.2">
      <c r="A89" s="28" t="s">
        <v>354</v>
      </c>
      <c r="B89" s="91" t="s">
        <v>109</v>
      </c>
      <c r="C89" s="66"/>
      <c r="D89" s="67">
        <f>'WARD DATA'!D180</f>
        <v>4405394</v>
      </c>
      <c r="E89" s="96">
        <f>'WARD DATA'!D181</f>
        <v>8.3000000000000007</v>
      </c>
      <c r="F89" s="67">
        <f>'WARD DATA'!E180</f>
        <v>478358</v>
      </c>
      <c r="G89" s="100">
        <f>'WARD DATA'!E181</f>
        <v>9.1</v>
      </c>
      <c r="H89" s="68">
        <f>'WARD DATA'!F180</f>
        <v>29147</v>
      </c>
      <c r="I89" s="96">
        <f>'WARD DATA'!F181</f>
        <v>12.6</v>
      </c>
      <c r="J89" s="75">
        <f>HLOOKUP($B$2,'WARD DATA'!$A$1:$AA$533,180,1)</f>
        <v>824</v>
      </c>
      <c r="K89" s="69">
        <f>HLOOKUP($B$2,'WARD DATA'!$A$1:$AA$533,181,1)</f>
        <v>7.3</v>
      </c>
      <c r="L89" s="61"/>
    </row>
    <row r="90" spans="1:12" hidden="1" x14ac:dyDescent="0.2">
      <c r="A90" s="28" t="s">
        <v>355</v>
      </c>
      <c r="B90" s="91" t="s">
        <v>110</v>
      </c>
      <c r="C90" s="66"/>
      <c r="D90" s="67">
        <f>'WARD DATA'!D182</f>
        <v>4947192</v>
      </c>
      <c r="E90" s="96">
        <f>'WARD DATA'!D183</f>
        <v>9.3000000000000007</v>
      </c>
      <c r="F90" s="67">
        <f>'WARD DATA'!E182</f>
        <v>515291</v>
      </c>
      <c r="G90" s="100">
        <f>'WARD DATA'!E183</f>
        <v>9.8000000000000007</v>
      </c>
      <c r="H90" s="68">
        <f>'WARD DATA'!F182</f>
        <v>26121</v>
      </c>
      <c r="I90" s="96">
        <f>'WARD DATA'!F183</f>
        <v>11.3</v>
      </c>
      <c r="J90" s="75">
        <f>HLOOKUP($B$2,'WARD DATA'!$A$1:$AA$533,182,1)</f>
        <v>1142</v>
      </c>
      <c r="K90" s="69">
        <f>HLOOKUP($B$2,'WARD DATA'!$A$1:$AA$533,183,1)</f>
        <v>10.1</v>
      </c>
      <c r="L90" s="61"/>
    </row>
    <row r="91" spans="1:12" hidden="1" x14ac:dyDescent="0.2">
      <c r="A91" s="28"/>
      <c r="B91" s="91" t="s">
        <v>111</v>
      </c>
      <c r="C91" s="66"/>
      <c r="D91" s="67">
        <f>'WARD DATA'!D184</f>
        <v>43659870</v>
      </c>
      <c r="E91" s="96">
        <f>'WARD DATA'!D185</f>
        <v>82.4</v>
      </c>
      <c r="F91" s="67">
        <f>'WARD DATA'!E184</f>
        <v>4290084</v>
      </c>
      <c r="G91" s="100">
        <f>'WARD DATA'!E185</f>
        <v>81.2</v>
      </c>
      <c r="H91" s="68">
        <f>'WARD DATA'!F184</f>
        <v>175953</v>
      </c>
      <c r="I91" s="96">
        <f>'WARD DATA'!F185</f>
        <v>76.099999999999994</v>
      </c>
      <c r="J91" s="75">
        <f>HLOOKUP($B$2,'WARD DATA'!$A$1:$AA$533,184,1)</f>
        <v>9356</v>
      </c>
      <c r="K91" s="69">
        <f>HLOOKUP($B$2,'WARD DATA'!$A$1:$AA$533,185,1)</f>
        <v>82.6</v>
      </c>
      <c r="L91" s="61"/>
    </row>
    <row r="92" spans="1:12" hidden="1" x14ac:dyDescent="0.2">
      <c r="A92" s="28"/>
      <c r="B92" s="91" t="s">
        <v>112</v>
      </c>
      <c r="C92" s="66"/>
      <c r="D92" s="67">
        <f>'WARD DATA'!D186</f>
        <v>1924080</v>
      </c>
      <c r="E92" s="96">
        <f>'WARD DATA'!D187</f>
        <v>3.6</v>
      </c>
      <c r="F92" s="67">
        <f>'WARD DATA'!E186</f>
        <v>211198</v>
      </c>
      <c r="G92" s="100">
        <f>'WARD DATA'!E187</f>
        <v>4</v>
      </c>
      <c r="H92" s="68">
        <f>'WARD DATA'!F186</f>
        <v>13748</v>
      </c>
      <c r="I92" s="96">
        <f>'WARD DATA'!F187</f>
        <v>5.9</v>
      </c>
      <c r="J92" s="75">
        <f>HLOOKUP($B$2,'WARD DATA'!$A$1:$AA$533,186,1)</f>
        <v>355</v>
      </c>
      <c r="K92" s="69">
        <f>HLOOKUP($B$2,'WARD DATA'!$A$1:$AA$533,187,1)</f>
        <v>3.1</v>
      </c>
      <c r="L92" s="61"/>
    </row>
    <row r="93" spans="1:12" hidden="1" x14ac:dyDescent="0.2">
      <c r="A93" s="28"/>
      <c r="B93" s="91" t="s">
        <v>113</v>
      </c>
      <c r="C93" s="66"/>
      <c r="D93" s="67">
        <f>'WARD DATA'!D188</f>
        <v>2452742</v>
      </c>
      <c r="E93" s="96">
        <f>'WARD DATA'!D189</f>
        <v>4.5999999999999996</v>
      </c>
      <c r="F93" s="67">
        <f>'WARD DATA'!E188</f>
        <v>257601</v>
      </c>
      <c r="G93" s="100">
        <f>'WARD DATA'!E189</f>
        <v>4.9000000000000004</v>
      </c>
      <c r="H93" s="68">
        <f>'WARD DATA'!F188</f>
        <v>13853</v>
      </c>
      <c r="I93" s="96">
        <f>'WARD DATA'!F189</f>
        <v>6</v>
      </c>
      <c r="J93" s="75">
        <f>HLOOKUP($B$2,'WARD DATA'!$A$1:$AA$533,188,1)</f>
        <v>541</v>
      </c>
      <c r="K93" s="69">
        <f>HLOOKUP($B$2,'WARD DATA'!$A$1:$AA$533,189,1)</f>
        <v>4.8</v>
      </c>
      <c r="L93" s="61"/>
    </row>
    <row r="94" spans="1:12" hidden="1" x14ac:dyDescent="0.2">
      <c r="A94" s="28"/>
      <c r="B94" s="91" t="s">
        <v>114</v>
      </c>
      <c r="C94" s="66"/>
      <c r="D94" s="67">
        <f>'WARD DATA'!D190</f>
        <v>29952269</v>
      </c>
      <c r="E94" s="96">
        <f>'WARD DATA'!D191</f>
        <v>56.5</v>
      </c>
      <c r="F94" s="67">
        <f>'WARD DATA'!E190</f>
        <v>2942571</v>
      </c>
      <c r="G94" s="100">
        <f>'WARD DATA'!E191</f>
        <v>55.7</v>
      </c>
      <c r="H94" s="68">
        <f>'WARD DATA'!F190</f>
        <v>120724</v>
      </c>
      <c r="I94" s="96">
        <f>'WARD DATA'!F191</f>
        <v>52.2</v>
      </c>
      <c r="J94" s="75">
        <f>HLOOKUP($B$2,'WARD DATA'!$A$1:$AA$533,190,1)</f>
        <v>6487</v>
      </c>
      <c r="K94" s="69">
        <f>HLOOKUP($B$2,'WARD DATA'!$A$1:$AA$533,191,1)</f>
        <v>57.3</v>
      </c>
      <c r="L94" s="61"/>
    </row>
    <row r="95" spans="1:12" hidden="1" x14ac:dyDescent="0.2">
      <c r="A95" s="28"/>
      <c r="B95" s="91" t="s">
        <v>115</v>
      </c>
      <c r="C95" s="66"/>
      <c r="D95" s="67">
        <f>'WARD DATA'!D192</f>
        <v>25005712</v>
      </c>
      <c r="E95" s="96">
        <f>'WARD DATA'!D193</f>
        <v>47.2</v>
      </c>
      <c r="F95" s="67">
        <f>'WARD DATA'!E192</f>
        <v>2407907</v>
      </c>
      <c r="G95" s="100">
        <f>'WARD DATA'!E193</f>
        <v>45.6</v>
      </c>
      <c r="H95" s="68">
        <f>'WARD DATA'!F192</f>
        <v>96194</v>
      </c>
      <c r="I95" s="96">
        <f>'WARD DATA'!F193</f>
        <v>41.6</v>
      </c>
      <c r="J95" s="75">
        <f>HLOOKUP($B$2,'WARD DATA'!$A$1:$AA$533,192,1)</f>
        <v>5432</v>
      </c>
      <c r="K95" s="69">
        <f>HLOOKUP($B$2,'WARD DATA'!$A$1:$AA$533,193,1)</f>
        <v>48</v>
      </c>
      <c r="L95" s="61"/>
    </row>
    <row r="96" spans="1:12" hidden="1" x14ac:dyDescent="0.2">
      <c r="A96" s="28"/>
      <c r="B96" s="91" t="s">
        <v>116</v>
      </c>
      <c r="C96" s="66"/>
      <c r="D96" s="67">
        <f>'WARD DATA'!D194</f>
        <v>18141457</v>
      </c>
      <c r="E96" s="96">
        <f>'WARD DATA'!D195</f>
        <v>34.200000000000003</v>
      </c>
      <c r="F96" s="67">
        <f>'WARD DATA'!E194</f>
        <v>1817231</v>
      </c>
      <c r="G96" s="100">
        <f>'WARD DATA'!E195</f>
        <v>34.4</v>
      </c>
      <c r="H96" s="68">
        <f>'WARD DATA'!F194</f>
        <v>77649</v>
      </c>
      <c r="I96" s="96">
        <f>'WARD DATA'!F195</f>
        <v>33.6</v>
      </c>
      <c r="J96" s="75">
        <f>HLOOKUP($B$2,'WARD DATA'!$A$1:$AA$533,194,1)</f>
        <v>3819</v>
      </c>
      <c r="K96" s="69">
        <f>HLOOKUP($B$2,'WARD DATA'!$A$1:$AA$533,195,1)</f>
        <v>33.700000000000003</v>
      </c>
      <c r="L96" s="61"/>
    </row>
    <row r="97" spans="1:13" hidden="1" x14ac:dyDescent="0.2">
      <c r="A97" s="28"/>
      <c r="B97" s="91" t="s">
        <v>117</v>
      </c>
      <c r="C97" s="66"/>
      <c r="D97" s="67">
        <f>'WARD DATA'!D196</f>
        <v>6954092</v>
      </c>
      <c r="E97" s="96">
        <f>'WARD DATA'!D197</f>
        <v>13.1</v>
      </c>
      <c r="F97" s="67">
        <f>'WARD DATA'!E196</f>
        <v>739959</v>
      </c>
      <c r="G97" s="100">
        <f>'WARD DATA'!E197</f>
        <v>14</v>
      </c>
      <c r="H97" s="68">
        <f>'WARD DATA'!F196</f>
        <v>37956</v>
      </c>
      <c r="I97" s="96">
        <f>'WARD DATA'!F197</f>
        <v>16.399999999999999</v>
      </c>
      <c r="J97" s="75">
        <f>HLOOKUP($B$2,'WARD DATA'!$A$1:$AA$533,196,1)</f>
        <v>1516</v>
      </c>
      <c r="K97" s="69">
        <f>HLOOKUP($B$2,'WARD DATA'!$A$1:$AA$533,197,1)</f>
        <v>13.4</v>
      </c>
      <c r="L97" s="61"/>
    </row>
    <row r="98" spans="1:13" hidden="1" x14ac:dyDescent="0.2">
      <c r="A98" s="28"/>
      <c r="B98" s="91" t="s">
        <v>118</v>
      </c>
      <c r="C98" s="66"/>
      <c r="D98" s="67">
        <f>'WARD DATA'!D198</f>
        <v>2250446</v>
      </c>
      <c r="E98" s="96">
        <f>'WARD DATA'!D199</f>
        <v>4.2</v>
      </c>
      <c r="F98" s="67">
        <f>'WARD DATA'!E198</f>
        <v>247942</v>
      </c>
      <c r="G98" s="100">
        <f>'WARD DATA'!E199</f>
        <v>4.7</v>
      </c>
      <c r="H98" s="68">
        <f>'WARD DATA'!F198</f>
        <v>15278</v>
      </c>
      <c r="I98" s="96">
        <f>'WARD DATA'!F199</f>
        <v>6.6</v>
      </c>
      <c r="J98" s="75">
        <f>HLOOKUP($B$2,'WARD DATA'!$A$1:$AA$533,198,1)</f>
        <v>429</v>
      </c>
      <c r="K98" s="69">
        <f>HLOOKUP($B$2,'WARD DATA'!$A$1:$AA$533,199,1)</f>
        <v>3.8</v>
      </c>
      <c r="L98" s="61"/>
    </row>
    <row r="99" spans="1:13" hidden="1" x14ac:dyDescent="0.2">
      <c r="A99" s="28"/>
      <c r="B99" s="91" t="s">
        <v>119</v>
      </c>
      <c r="C99" s="66"/>
      <c r="D99" s="67">
        <f>'WARD DATA'!D200</f>
        <v>660749</v>
      </c>
      <c r="E99" s="96">
        <f>'WARD DATA'!D201</f>
        <v>1.2</v>
      </c>
      <c r="F99" s="67">
        <f>'WARD DATA'!E200</f>
        <v>70694</v>
      </c>
      <c r="G99" s="100">
        <f>'WARD DATA'!E201</f>
        <v>1.3</v>
      </c>
      <c r="H99" s="68">
        <f>'WARD DATA'!F200</f>
        <v>4144</v>
      </c>
      <c r="I99" s="96">
        <f>'WARD DATA'!F201</f>
        <v>1.8</v>
      </c>
      <c r="J99" s="75">
        <f>HLOOKUP($B$2,'WARD DATA'!$A$1:$AA$533,200,1)</f>
        <v>126</v>
      </c>
      <c r="K99" s="69">
        <f>HLOOKUP($B$2,'WARD DATA'!$A$1:$AA$533,201,1)</f>
        <v>1.1000000000000001</v>
      </c>
      <c r="L99" s="61"/>
    </row>
    <row r="100" spans="1:13" hidden="1" x14ac:dyDescent="0.2">
      <c r="A100" s="28"/>
      <c r="B100" s="91" t="s">
        <v>120</v>
      </c>
      <c r="C100" s="66"/>
      <c r="D100" s="67">
        <f>'WARD DATA'!D202</f>
        <v>47582440</v>
      </c>
      <c r="E100" s="96">
        <f>'WARD DATA'!D203</f>
        <v>89.8</v>
      </c>
      <c r="F100" s="67">
        <f>'WARD DATA'!E202</f>
        <v>4732392</v>
      </c>
      <c r="G100" s="100">
        <f>'WARD DATA'!E203</f>
        <v>89.6</v>
      </c>
      <c r="H100" s="68">
        <f>'WARD DATA'!F202</f>
        <v>204054</v>
      </c>
      <c r="I100" s="96">
        <f>'WARD DATA'!F203</f>
        <v>88.3</v>
      </c>
      <c r="J100" s="75">
        <f>HLOOKUP($B$2,'WARD DATA'!$A$1:$AA$533,202,1)</f>
        <v>10022</v>
      </c>
      <c r="K100" s="69">
        <f>HLOOKUP($B$2,'WARD DATA'!$A$1:$AA$533,203,1)</f>
        <v>88.5</v>
      </c>
      <c r="L100" s="61"/>
    </row>
    <row r="101" spans="1:13" hidden="1" x14ac:dyDescent="0.2">
      <c r="A101" s="28"/>
      <c r="B101" s="91" t="s">
        <v>121</v>
      </c>
      <c r="C101" s="66"/>
      <c r="D101" s="67">
        <f>'WARD DATA'!D204</f>
        <v>3452636</v>
      </c>
      <c r="E101" s="96">
        <f>'WARD DATA'!D205</f>
        <v>6.5</v>
      </c>
      <c r="F101" s="67">
        <f>'WARD DATA'!E204</f>
        <v>341658</v>
      </c>
      <c r="G101" s="100">
        <f>'WARD DATA'!E205</f>
        <v>6.5</v>
      </c>
      <c r="H101" s="68">
        <f>'WARD DATA'!F204</f>
        <v>15473</v>
      </c>
      <c r="I101" s="96">
        <f>'WARD DATA'!F205</f>
        <v>6.7</v>
      </c>
      <c r="J101" s="75">
        <f>HLOOKUP($B$2,'WARD DATA'!$A$1:$AA$533,204,1)</f>
        <v>916</v>
      </c>
      <c r="K101" s="69">
        <f>HLOOKUP($B$2,'WARD DATA'!$A$1:$AA$533,205,1)</f>
        <v>8.1</v>
      </c>
      <c r="L101" s="61"/>
    </row>
    <row r="102" spans="1:13" hidden="1" x14ac:dyDescent="0.2">
      <c r="A102" s="28"/>
      <c r="B102" s="91" t="s">
        <v>122</v>
      </c>
      <c r="C102" s="66"/>
      <c r="D102" s="67">
        <f>'WARD DATA'!D206</f>
        <v>721143</v>
      </c>
      <c r="E102" s="96">
        <f>'WARD DATA'!D207</f>
        <v>1.4</v>
      </c>
      <c r="F102" s="67">
        <f>'WARD DATA'!E206</f>
        <v>74574</v>
      </c>
      <c r="G102" s="100">
        <f>'WARD DATA'!E207</f>
        <v>1.4</v>
      </c>
      <c r="H102" s="68">
        <f>'WARD DATA'!F206</f>
        <v>4075</v>
      </c>
      <c r="I102" s="96">
        <f>'WARD DATA'!F207</f>
        <v>1.8</v>
      </c>
      <c r="J102" s="75">
        <f>HLOOKUP($B$2,'WARD DATA'!$A$1:$AA$533,206,1)</f>
        <v>126</v>
      </c>
      <c r="K102" s="69">
        <f>HLOOKUP($B$2,'WARD DATA'!$A$1:$AA$533,207,1)</f>
        <v>1.1000000000000001</v>
      </c>
      <c r="L102" s="61"/>
    </row>
    <row r="103" spans="1:13" hidden="1" x14ac:dyDescent="0.2">
      <c r="A103" s="29"/>
      <c r="B103" s="92" t="s">
        <v>123</v>
      </c>
      <c r="C103" s="70"/>
      <c r="D103" s="71">
        <f>'WARD DATA'!D208</f>
        <v>1256237</v>
      </c>
      <c r="E103" s="97">
        <f>'WARD DATA'!D209</f>
        <v>2.4</v>
      </c>
      <c r="F103" s="71">
        <f>'WARD DATA'!E208</f>
        <v>135109</v>
      </c>
      <c r="G103" s="101">
        <f>'WARD DATA'!E209</f>
        <v>2.6</v>
      </c>
      <c r="H103" s="72">
        <f>'WARD DATA'!F208</f>
        <v>7619</v>
      </c>
      <c r="I103" s="97">
        <f>'WARD DATA'!F209</f>
        <v>3.3</v>
      </c>
      <c r="J103" s="76">
        <f>HLOOKUP($B$2,'WARD DATA'!$A$1:$AA$533,208,1)</f>
        <v>258</v>
      </c>
      <c r="K103" s="73">
        <f>HLOOKUP($B$2,'WARD DATA'!$A$1:$AA$533,209,1)</f>
        <v>2.2999999999999998</v>
      </c>
      <c r="L103" s="61"/>
    </row>
    <row r="104" spans="1:13" hidden="1" x14ac:dyDescent="0.2">
      <c r="A104" s="104"/>
      <c r="B104" s="91"/>
      <c r="D104" s="47"/>
      <c r="E104" s="96"/>
      <c r="F104" s="47"/>
      <c r="G104" s="100"/>
      <c r="H104" s="20"/>
      <c r="I104" s="96"/>
      <c r="K104" s="69"/>
      <c r="L104" s="61"/>
    </row>
    <row r="105" spans="1:13" hidden="1" x14ac:dyDescent="0.2">
      <c r="A105" s="27" t="s">
        <v>346</v>
      </c>
      <c r="B105" s="93" t="s">
        <v>226</v>
      </c>
      <c r="C105" s="62"/>
      <c r="D105" s="63">
        <f>'WARD DATA'!D210</f>
        <v>42989620</v>
      </c>
      <c r="E105" s="95">
        <f>'WARD DATA'!D211</f>
        <v>100</v>
      </c>
      <c r="F105" s="63">
        <f>'WARD DATA'!E210</f>
        <v>4285941</v>
      </c>
      <c r="G105" s="99">
        <f>'WARD DATA'!E211</f>
        <v>100</v>
      </c>
      <c r="H105" s="64">
        <f>'WARD DATA'!F210</f>
        <v>188335</v>
      </c>
      <c r="I105" s="95">
        <f>'WARD DATA'!F211</f>
        <v>100</v>
      </c>
      <c r="J105" s="74">
        <f>HLOOKUP($B$2,'WARD DATA'!$A$1:$AA$533,210,1)</f>
        <v>9280</v>
      </c>
      <c r="K105" s="65">
        <f>HLOOKUP($B$2,'WARD DATA'!$A$1:$AA$533,211,1)</f>
        <v>100</v>
      </c>
      <c r="L105" s="61"/>
    </row>
    <row r="106" spans="1:13" s="37" customFormat="1" hidden="1" x14ac:dyDescent="0.2">
      <c r="A106" s="28" t="s">
        <v>347</v>
      </c>
      <c r="B106" s="91" t="s">
        <v>227</v>
      </c>
      <c r="C106" s="66"/>
      <c r="D106" s="67">
        <f>'WARD DATA'!D212</f>
        <v>9656810</v>
      </c>
      <c r="E106" s="96">
        <f>'WARD DATA'!D213</f>
        <v>22.5</v>
      </c>
      <c r="F106" s="67">
        <f>'WARD DATA'!E212</f>
        <v>1104692</v>
      </c>
      <c r="G106" s="100">
        <f>'WARD DATA'!E213</f>
        <v>25.8</v>
      </c>
      <c r="H106" s="68">
        <f>'WARD DATA'!F212</f>
        <v>60890</v>
      </c>
      <c r="I106" s="96">
        <f>'WARD DATA'!F213</f>
        <v>32.299999999999997</v>
      </c>
      <c r="J106" s="75">
        <f>HLOOKUP($B$2,'WARD DATA'!$A$1:$AA$533,212,1)</f>
        <v>2106</v>
      </c>
      <c r="K106" s="69">
        <f>HLOOKUP($B$2,'WARD DATA'!$A$1:$AA$533,213,1)</f>
        <v>22.7</v>
      </c>
      <c r="L106" s="61"/>
      <c r="M106" s="5"/>
    </row>
    <row r="107" spans="1:13" s="37" customFormat="1" hidden="1" x14ac:dyDescent="0.2">
      <c r="A107" s="28"/>
      <c r="B107" s="91" t="s">
        <v>228</v>
      </c>
      <c r="C107" s="66"/>
      <c r="D107" s="67">
        <f>'WARD DATA'!D214</f>
        <v>5714441</v>
      </c>
      <c r="E107" s="96">
        <f>'WARD DATA'!D215</f>
        <v>13.3</v>
      </c>
      <c r="F107" s="67">
        <f>'WARD DATA'!E214</f>
        <v>581029</v>
      </c>
      <c r="G107" s="100">
        <f>'WARD DATA'!E215</f>
        <v>13.6</v>
      </c>
      <c r="H107" s="68">
        <f>'WARD DATA'!F214</f>
        <v>26913</v>
      </c>
      <c r="I107" s="96">
        <f>'WARD DATA'!F215</f>
        <v>14.3</v>
      </c>
      <c r="J107" s="75">
        <f>HLOOKUP($B$2,'WARD DATA'!$A$1:$AA$533,214,1)</f>
        <v>1103</v>
      </c>
      <c r="K107" s="69">
        <f>HLOOKUP($B$2,'WARD DATA'!$A$1:$AA$533,215,1)</f>
        <v>11.9</v>
      </c>
      <c r="L107" s="61"/>
      <c r="M107" s="5"/>
    </row>
    <row r="108" spans="1:13" s="37" customFormat="1" hidden="1" x14ac:dyDescent="0.2">
      <c r="A108" s="28"/>
      <c r="B108" s="91" t="s">
        <v>229</v>
      </c>
      <c r="C108" s="66"/>
      <c r="D108" s="67">
        <f>'WARD DATA'!D216</f>
        <v>6544614</v>
      </c>
      <c r="E108" s="96">
        <f>'WARD DATA'!D217</f>
        <v>15.2</v>
      </c>
      <c r="F108" s="67">
        <f>'WARD DATA'!E216</f>
        <v>662318</v>
      </c>
      <c r="G108" s="100">
        <f>'WARD DATA'!E217</f>
        <v>15.5</v>
      </c>
      <c r="H108" s="68">
        <f>'WARD DATA'!F216</f>
        <v>30550</v>
      </c>
      <c r="I108" s="96">
        <f>'WARD DATA'!F217</f>
        <v>16.2</v>
      </c>
      <c r="J108" s="75">
        <f>HLOOKUP($B$2,'WARD DATA'!$A$1:$AA$533,216,1)</f>
        <v>1472</v>
      </c>
      <c r="K108" s="69">
        <f>HLOOKUP($B$2,'WARD DATA'!$A$1:$AA$533,217,1)</f>
        <v>15.9</v>
      </c>
      <c r="L108" s="61"/>
      <c r="M108" s="5"/>
    </row>
    <row r="109" spans="1:13" s="37" customFormat="1" hidden="1" x14ac:dyDescent="0.2">
      <c r="A109" s="28"/>
      <c r="B109" s="91" t="s">
        <v>230</v>
      </c>
      <c r="C109" s="66"/>
      <c r="D109" s="67">
        <f>'WARD DATA'!D218</f>
        <v>1532934</v>
      </c>
      <c r="E109" s="96">
        <f>'WARD DATA'!D219</f>
        <v>3.6</v>
      </c>
      <c r="F109" s="67">
        <f>'WARD DATA'!E218</f>
        <v>181690</v>
      </c>
      <c r="G109" s="100">
        <f>'WARD DATA'!E219</f>
        <v>4.2</v>
      </c>
      <c r="H109" s="68">
        <f>'WARD DATA'!F218</f>
        <v>7716</v>
      </c>
      <c r="I109" s="96">
        <f>'WARD DATA'!F219</f>
        <v>4.0999999999999996</v>
      </c>
      <c r="J109" s="75">
        <f>HLOOKUP($B$2,'WARD DATA'!$A$1:$AA$533,218,1)</f>
        <v>438</v>
      </c>
      <c r="K109" s="69">
        <f>HLOOKUP($B$2,'WARD DATA'!$A$1:$AA$533,219,1)</f>
        <v>4.7</v>
      </c>
      <c r="L109" s="61"/>
    </row>
    <row r="110" spans="1:13" s="37" customFormat="1" hidden="1" x14ac:dyDescent="0.2">
      <c r="A110" s="28"/>
      <c r="B110" s="91" t="s">
        <v>231</v>
      </c>
      <c r="C110" s="66"/>
      <c r="D110" s="67">
        <f>'WARD DATA'!D220</f>
        <v>5309631</v>
      </c>
      <c r="E110" s="96">
        <f>'WARD DATA'!D221</f>
        <v>12.4</v>
      </c>
      <c r="F110" s="67">
        <f>'WARD DATA'!E220</f>
        <v>547480</v>
      </c>
      <c r="G110" s="100">
        <f>'WARD DATA'!E221</f>
        <v>12.8</v>
      </c>
      <c r="H110" s="68">
        <f>'WARD DATA'!F220</f>
        <v>21342</v>
      </c>
      <c r="I110" s="96">
        <f>'WARD DATA'!F221</f>
        <v>11.3</v>
      </c>
      <c r="J110" s="75">
        <f>HLOOKUP($B$2,'WARD DATA'!$A$1:$AA$533,220,1)</f>
        <v>1121</v>
      </c>
      <c r="K110" s="69">
        <f>HLOOKUP($B$2,'WARD DATA'!$A$1:$AA$533,221,1)</f>
        <v>12.1</v>
      </c>
      <c r="L110" s="61"/>
    </row>
    <row r="111" spans="1:13" s="37" customFormat="1" hidden="1" x14ac:dyDescent="0.2">
      <c r="A111" s="28"/>
      <c r="B111" s="91" t="s">
        <v>232</v>
      </c>
      <c r="C111" s="66"/>
      <c r="D111" s="67">
        <f>'WARD DATA'!D222</f>
        <v>11769361</v>
      </c>
      <c r="E111" s="96">
        <f>'WARD DATA'!D223</f>
        <v>27.4</v>
      </c>
      <c r="F111" s="67">
        <f>'WARD DATA'!E222</f>
        <v>998718</v>
      </c>
      <c r="G111" s="100">
        <f>'WARD DATA'!E223</f>
        <v>23.3</v>
      </c>
      <c r="H111" s="68">
        <f>'WARD DATA'!F222</f>
        <v>32724</v>
      </c>
      <c r="I111" s="96">
        <f>'WARD DATA'!F223</f>
        <v>17.399999999999999</v>
      </c>
      <c r="J111" s="75">
        <f>HLOOKUP($B$2,'WARD DATA'!$A$1:$AA$533,222,1)</f>
        <v>2741</v>
      </c>
      <c r="K111" s="69">
        <f>HLOOKUP($B$2,'WARD DATA'!$A$1:$AA$533,223,1)</f>
        <v>29.5</v>
      </c>
      <c r="L111" s="61"/>
    </row>
    <row r="112" spans="1:13" s="37" customFormat="1" hidden="1" x14ac:dyDescent="0.2">
      <c r="A112" s="28"/>
      <c r="B112" s="91" t="s">
        <v>233</v>
      </c>
      <c r="C112" s="66"/>
      <c r="D112" s="67">
        <f>'WARD DATA'!D224</f>
        <v>2461829</v>
      </c>
      <c r="E112" s="96">
        <f>'WARD DATA'!D225</f>
        <v>5.7</v>
      </c>
      <c r="F112" s="67">
        <f>'WARD DATA'!E224</f>
        <v>210014</v>
      </c>
      <c r="G112" s="100">
        <f>'WARD DATA'!E225</f>
        <v>4.9000000000000004</v>
      </c>
      <c r="H112" s="68">
        <f>'WARD DATA'!F224</f>
        <v>8200</v>
      </c>
      <c r="I112" s="96">
        <f>'WARD DATA'!F225</f>
        <v>4.4000000000000004</v>
      </c>
      <c r="J112" s="75">
        <f>HLOOKUP($B$2,'WARD DATA'!$A$1:$AA$533,224,1)</f>
        <v>299</v>
      </c>
      <c r="K112" s="69">
        <f>HLOOKUP($B$2,'WARD DATA'!$A$1:$AA$533,225,1)</f>
        <v>3.2</v>
      </c>
      <c r="L112" s="61"/>
    </row>
    <row r="113" spans="1:13" s="37" customFormat="1" hidden="1" x14ac:dyDescent="0.2">
      <c r="A113" s="28"/>
      <c r="B113" s="91" t="s">
        <v>234</v>
      </c>
      <c r="C113" s="66"/>
      <c r="D113" s="67">
        <f>'WARD DATA'!D226</f>
        <v>1163148</v>
      </c>
      <c r="E113" s="96">
        <f>'WARD DATA'!D227</f>
        <v>2.7</v>
      </c>
      <c r="F113" s="67">
        <f>'WARD DATA'!E226</f>
        <v>113290</v>
      </c>
      <c r="G113" s="100">
        <f>'WARD DATA'!E227</f>
        <v>2.6</v>
      </c>
      <c r="H113" s="68">
        <f>'WARD DATA'!F226</f>
        <v>4905</v>
      </c>
      <c r="I113" s="96">
        <f>'WARD DATA'!F227</f>
        <v>2.6</v>
      </c>
      <c r="J113" s="75">
        <f>HLOOKUP($B$2,'WARD DATA'!$A$1:$AA$533,226,1)</f>
        <v>252</v>
      </c>
      <c r="K113" s="69">
        <f>HLOOKUP($B$2,'WARD DATA'!$A$1:$AA$533,227,1)</f>
        <v>2.7</v>
      </c>
      <c r="L113" s="61"/>
    </row>
    <row r="114" spans="1:13" s="37" customFormat="1" hidden="1" x14ac:dyDescent="0.2">
      <c r="A114" s="28"/>
      <c r="B114" s="91" t="s">
        <v>235</v>
      </c>
      <c r="C114" s="66"/>
      <c r="D114" s="67">
        <f>'WARD DATA'!D228</f>
        <v>2348197</v>
      </c>
      <c r="E114" s="96">
        <f>'WARD DATA'!D229</f>
        <v>5.5</v>
      </c>
      <c r="F114" s="67">
        <f>'WARD DATA'!E228</f>
        <v>245450</v>
      </c>
      <c r="G114" s="100">
        <f>'WARD DATA'!E229</f>
        <v>5.7</v>
      </c>
      <c r="H114" s="68">
        <f>'WARD DATA'!F228</f>
        <v>4942</v>
      </c>
      <c r="I114" s="96">
        <f>'WARD DATA'!F229</f>
        <v>2.6</v>
      </c>
      <c r="J114" s="75">
        <f>HLOOKUP($B$2,'WARD DATA'!$A$1:$AA$533,228,1)</f>
        <v>223</v>
      </c>
      <c r="K114" s="69">
        <f>HLOOKUP($B$2,'WARD DATA'!$A$1:$AA$533,229,1)</f>
        <v>2.4</v>
      </c>
      <c r="L114" s="61"/>
    </row>
    <row r="115" spans="1:13" s="37" customFormat="1" hidden="1" x14ac:dyDescent="0.2">
      <c r="A115" s="28"/>
      <c r="B115" s="91" t="s">
        <v>236</v>
      </c>
      <c r="C115" s="66"/>
      <c r="D115" s="67">
        <f>'WARD DATA'!D230</f>
        <v>791902</v>
      </c>
      <c r="E115" s="96">
        <f>'WARD DATA'!D231</f>
        <v>1.8</v>
      </c>
      <c r="F115" s="67">
        <f>'WARD DATA'!E230</f>
        <v>80433</v>
      </c>
      <c r="G115" s="100">
        <f>'WARD DATA'!E231</f>
        <v>1.9</v>
      </c>
      <c r="H115" s="68">
        <f>'WARD DATA'!F230</f>
        <v>1986</v>
      </c>
      <c r="I115" s="96">
        <f>'WARD DATA'!F231</f>
        <v>1.1000000000000001</v>
      </c>
      <c r="J115" s="75">
        <f>HLOOKUP($B$2,'WARD DATA'!$A$1:$AA$533,230,1)</f>
        <v>108</v>
      </c>
      <c r="K115" s="69">
        <f>HLOOKUP($B$2,'WARD DATA'!$A$1:$AA$533,231,1)</f>
        <v>1.2</v>
      </c>
      <c r="L115" s="61"/>
    </row>
    <row r="116" spans="1:13" s="37" customFormat="1" hidden="1" x14ac:dyDescent="0.2">
      <c r="A116" s="28"/>
      <c r="B116" s="91" t="s">
        <v>237</v>
      </c>
      <c r="C116" s="66"/>
      <c r="D116" s="67">
        <f>'WARD DATA'!D232</f>
        <v>208518</v>
      </c>
      <c r="E116" s="96">
        <f>'WARD DATA'!D233</f>
        <v>0.5</v>
      </c>
      <c r="F116" s="67">
        <f>'WARD DATA'!E232</f>
        <v>23267</v>
      </c>
      <c r="G116" s="100">
        <f>'WARD DATA'!E233</f>
        <v>0.5</v>
      </c>
      <c r="H116" s="68">
        <f>'WARD DATA'!F232</f>
        <v>462</v>
      </c>
      <c r="I116" s="96">
        <f>'WARD DATA'!F233</f>
        <v>0.2</v>
      </c>
      <c r="J116" s="75">
        <f>HLOOKUP($B$2,'WARD DATA'!$A$1:$AA$533,232,1)</f>
        <v>15</v>
      </c>
      <c r="K116" s="69">
        <f>HLOOKUP($B$2,'WARD DATA'!$A$1:$AA$533,233,1)</f>
        <v>0.2</v>
      </c>
      <c r="L116" s="61"/>
    </row>
    <row r="117" spans="1:13" s="37" customFormat="1" hidden="1" x14ac:dyDescent="0.2">
      <c r="A117" s="29"/>
      <c r="B117" s="92" t="s">
        <v>238</v>
      </c>
      <c r="C117" s="70"/>
      <c r="D117" s="71">
        <f>'WARD DATA'!D234</f>
        <v>1340731</v>
      </c>
      <c r="E117" s="97">
        <f>'WARD DATA'!D235</f>
        <v>3.1</v>
      </c>
      <c r="F117" s="71">
        <f>'WARD DATA'!E234</f>
        <v>141077</v>
      </c>
      <c r="G117" s="101">
        <f>'WARD DATA'!E235</f>
        <v>3.3</v>
      </c>
      <c r="H117" s="72">
        <f>'WARD DATA'!F234</f>
        <v>2458</v>
      </c>
      <c r="I117" s="97">
        <f>'WARD DATA'!F235</f>
        <v>1.3</v>
      </c>
      <c r="J117" s="76">
        <f>HLOOKUP($B$2,'WARD DATA'!$A$1:$AA$533,234,1)</f>
        <v>98</v>
      </c>
      <c r="K117" s="73">
        <f>HLOOKUP($B$2,'WARD DATA'!$A$1:$AA$533,235,1)</f>
        <v>1.1000000000000001</v>
      </c>
      <c r="L117" s="61"/>
    </row>
    <row r="118" spans="1:13" hidden="1" x14ac:dyDescent="0.2">
      <c r="A118" s="104"/>
      <c r="B118" s="91"/>
      <c r="D118" s="47"/>
      <c r="E118" s="96"/>
      <c r="F118" s="47"/>
      <c r="G118" s="100"/>
      <c r="H118" s="20"/>
      <c r="I118" s="96"/>
      <c r="J118" s="53"/>
      <c r="K118" s="69"/>
      <c r="L118" s="61"/>
      <c r="M118" s="37"/>
    </row>
    <row r="119" spans="1:13" hidden="1" x14ac:dyDescent="0.2">
      <c r="A119" s="27" t="s">
        <v>370</v>
      </c>
      <c r="B119" s="93" t="s">
        <v>307</v>
      </c>
      <c r="C119" s="62"/>
      <c r="D119" s="63">
        <f>'WARD DATA'!D236</f>
        <v>22063368</v>
      </c>
      <c r="E119" s="95">
        <f>'WARD DATA'!D237</f>
        <v>100</v>
      </c>
      <c r="F119" s="63">
        <f>'WARD DATA'!E236</f>
        <v>2224059</v>
      </c>
      <c r="G119" s="99">
        <f>'WARD DATA'!E237</f>
        <v>100</v>
      </c>
      <c r="H119" s="64">
        <f>'WARD DATA'!F236</f>
        <v>100734</v>
      </c>
      <c r="I119" s="95">
        <f>'WARD DATA'!F237</f>
        <v>100</v>
      </c>
      <c r="J119" s="74">
        <f>HLOOKUP($B$2,'WARD DATA'!$A$1:$AA$533,236,1)</f>
        <v>4878</v>
      </c>
      <c r="K119" s="65">
        <f>HLOOKUP($B$2,'WARD DATA'!$A$1:$AA$533,237,1)</f>
        <v>100</v>
      </c>
      <c r="L119" s="61"/>
      <c r="M119" s="37"/>
    </row>
    <row r="120" spans="1:13" hidden="1" x14ac:dyDescent="0.2">
      <c r="A120" s="28" t="s">
        <v>371</v>
      </c>
      <c r="B120" s="91" t="s">
        <v>308</v>
      </c>
      <c r="C120" s="66"/>
      <c r="D120" s="67">
        <f>'WARD DATA'!D238</f>
        <v>6666493</v>
      </c>
      <c r="E120" s="96">
        <f>'WARD DATA'!D239</f>
        <v>30.2</v>
      </c>
      <c r="F120" s="67">
        <f>'WARD DATA'!E238</f>
        <v>679399</v>
      </c>
      <c r="G120" s="100">
        <f>'WARD DATA'!E239</f>
        <v>30.5</v>
      </c>
      <c r="H120" s="68">
        <f>'WARD DATA'!F238</f>
        <v>29734</v>
      </c>
      <c r="I120" s="96">
        <f>'WARD DATA'!F239</f>
        <v>29.5</v>
      </c>
      <c r="J120" s="75">
        <f>HLOOKUP($B$2,'WARD DATA'!$A$1:$AA$533,238,1)</f>
        <v>1311</v>
      </c>
      <c r="K120" s="69">
        <f>HLOOKUP($B$2,'WARD DATA'!$A$1:$AA$533,239,1)</f>
        <v>26.9</v>
      </c>
      <c r="L120" s="61"/>
      <c r="M120" s="37"/>
    </row>
    <row r="121" spans="1:13" hidden="1" x14ac:dyDescent="0.2">
      <c r="A121" s="28"/>
      <c r="B121" s="91" t="s">
        <v>309</v>
      </c>
      <c r="C121" s="66"/>
      <c r="D121" s="67">
        <f>'WARD DATA'!D240</f>
        <v>13631182</v>
      </c>
      <c r="E121" s="96">
        <f>'WARD DATA'!D241</f>
        <v>61.8</v>
      </c>
      <c r="F121" s="67">
        <f>'WARD DATA'!E240</f>
        <v>1394564</v>
      </c>
      <c r="G121" s="100">
        <f>'WARD DATA'!E241</f>
        <v>62.7</v>
      </c>
      <c r="H121" s="68">
        <f>'WARD DATA'!F240</f>
        <v>66621</v>
      </c>
      <c r="I121" s="96">
        <f>'WARD DATA'!F241</f>
        <v>66.099999999999994</v>
      </c>
      <c r="J121" s="75">
        <f>HLOOKUP($B$2,'WARD DATA'!$A$1:$AA$533,240,1)</f>
        <v>3389</v>
      </c>
      <c r="K121" s="69">
        <f>HLOOKUP($B$2,'WARD DATA'!$A$1:$AA$533,241,1)</f>
        <v>69.5</v>
      </c>
      <c r="L121" s="61"/>
    </row>
    <row r="122" spans="1:13" hidden="1" x14ac:dyDescent="0.2">
      <c r="A122" s="29"/>
      <c r="B122" s="92" t="s">
        <v>310</v>
      </c>
      <c r="C122" s="70"/>
      <c r="D122" s="71">
        <f>'WARD DATA'!D242</f>
        <v>1765693</v>
      </c>
      <c r="E122" s="97">
        <f>'WARD DATA'!D243</f>
        <v>8</v>
      </c>
      <c r="F122" s="71">
        <f>'WARD DATA'!E242</f>
        <v>150096</v>
      </c>
      <c r="G122" s="101">
        <f>'WARD DATA'!E243</f>
        <v>6.7</v>
      </c>
      <c r="H122" s="72">
        <f>'WARD DATA'!F242</f>
        <v>4379</v>
      </c>
      <c r="I122" s="97">
        <f>'WARD DATA'!F243</f>
        <v>4.3</v>
      </c>
      <c r="J122" s="76">
        <f>HLOOKUP($B$2,'WARD DATA'!$A$1:$AA$533,242,1)</f>
        <v>178</v>
      </c>
      <c r="K122" s="73">
        <f>HLOOKUP($B$2,'WARD DATA'!$A$1:$AA$533,243,1)</f>
        <v>3.6</v>
      </c>
      <c r="L122" s="61"/>
    </row>
    <row r="123" spans="1:13" hidden="1" x14ac:dyDescent="0.2">
      <c r="A123" s="104"/>
      <c r="B123" s="91"/>
      <c r="D123" s="47"/>
      <c r="E123" s="96"/>
      <c r="F123" s="47"/>
      <c r="G123" s="100"/>
      <c r="H123" s="20"/>
      <c r="I123" s="96"/>
      <c r="J123" s="53"/>
      <c r="K123" s="69"/>
      <c r="L123" s="61"/>
    </row>
    <row r="124" spans="1:13" hidden="1" x14ac:dyDescent="0.2">
      <c r="A124" s="27" t="s">
        <v>368</v>
      </c>
      <c r="B124" s="93" t="s">
        <v>157</v>
      </c>
      <c r="C124" s="62"/>
      <c r="D124" s="63">
        <f>'WARD DATA'!D244</f>
        <v>42077356</v>
      </c>
      <c r="E124" s="95">
        <f>'WARD DATA'!D245</f>
        <v>100</v>
      </c>
      <c r="F124" s="63">
        <f>'WARD DATA'!E244</f>
        <v>4190549</v>
      </c>
      <c r="G124" s="99">
        <f>'WARD DATA'!E245</f>
        <v>100</v>
      </c>
      <c r="H124" s="64">
        <f>'WARD DATA'!F244</f>
        <v>186674</v>
      </c>
      <c r="I124" s="95">
        <f>'WARD DATA'!F245</f>
        <v>100</v>
      </c>
      <c r="J124" s="74">
        <f>HLOOKUP($B$2,'WARD DATA'!$A$1:$AA$533,244,1)</f>
        <v>9267</v>
      </c>
      <c r="K124" s="65">
        <f>HLOOKUP($B$2,'WARD DATA'!$A$1:$AA$533,245,1)</f>
        <v>100</v>
      </c>
      <c r="L124" s="61"/>
    </row>
    <row r="125" spans="1:13" hidden="1" x14ac:dyDescent="0.2">
      <c r="A125" s="28" t="s">
        <v>369</v>
      </c>
      <c r="B125" s="91" t="s">
        <v>158</v>
      </c>
      <c r="C125" s="66"/>
      <c r="D125" s="67">
        <f>'WARD DATA'!D246</f>
        <v>24321304</v>
      </c>
      <c r="E125" s="96">
        <f>'WARD DATA'!D247</f>
        <v>57.8</v>
      </c>
      <c r="F125" s="67">
        <f>'WARD DATA'!E246</f>
        <v>2474053</v>
      </c>
      <c r="G125" s="100">
        <f>'WARD DATA'!E247</f>
        <v>59</v>
      </c>
      <c r="H125" s="68">
        <f>'WARD DATA'!F246</f>
        <v>114804</v>
      </c>
      <c r="I125" s="96">
        <f>'WARD DATA'!F247</f>
        <v>61.5</v>
      </c>
      <c r="J125" s="75">
        <f>HLOOKUP($B$2,'WARD DATA'!$A$1:$AA$533,246,1)</f>
        <v>6210</v>
      </c>
      <c r="K125" s="69">
        <f>HLOOKUP($B$2,'WARD DATA'!$A$1:$AA$533,247,1)</f>
        <v>67</v>
      </c>
      <c r="L125" s="61"/>
    </row>
    <row r="126" spans="1:13" hidden="1" x14ac:dyDescent="0.2">
      <c r="A126" s="28"/>
      <c r="B126" s="91" t="s">
        <v>159</v>
      </c>
      <c r="C126" s="66"/>
      <c r="D126" s="67">
        <f>'WARD DATA'!D248</f>
        <v>19296455</v>
      </c>
      <c r="E126" s="96">
        <f>'WARD DATA'!D249</f>
        <v>45.9</v>
      </c>
      <c r="F126" s="67">
        <f>'WARD DATA'!E248</f>
        <v>1937452</v>
      </c>
      <c r="G126" s="100">
        <f>'WARD DATA'!E249</f>
        <v>46.2</v>
      </c>
      <c r="H126" s="68">
        <f>'WARD DATA'!F248</f>
        <v>87674</v>
      </c>
      <c r="I126" s="96">
        <f>'WARD DATA'!F249</f>
        <v>47</v>
      </c>
      <c r="J126" s="75">
        <f>HLOOKUP($B$2,'WARD DATA'!$A$1:$AA$533,248,1)</f>
        <v>4978</v>
      </c>
      <c r="K126" s="69">
        <f>HLOOKUP($B$2,'WARD DATA'!$A$1:$AA$533,249,1)</f>
        <v>53.7</v>
      </c>
      <c r="L126" s="61"/>
    </row>
    <row r="127" spans="1:13" hidden="1" x14ac:dyDescent="0.2">
      <c r="A127" s="28"/>
      <c r="B127" s="91" t="s">
        <v>160</v>
      </c>
      <c r="C127" s="66"/>
      <c r="D127" s="67">
        <f>'WARD DATA'!D250</f>
        <v>5024849</v>
      </c>
      <c r="E127" s="96">
        <f>'WARD DATA'!D251</f>
        <v>11.9</v>
      </c>
      <c r="F127" s="67">
        <f>'WARD DATA'!E250</f>
        <v>536601</v>
      </c>
      <c r="G127" s="100">
        <f>'WARD DATA'!E251</f>
        <v>12.8</v>
      </c>
      <c r="H127" s="68">
        <f>'WARD DATA'!F250</f>
        <v>27130</v>
      </c>
      <c r="I127" s="96">
        <f>'WARD DATA'!F251</f>
        <v>14.5</v>
      </c>
      <c r="J127" s="75">
        <f>HLOOKUP($B$2,'WARD DATA'!$A$1:$AA$533,250,1)</f>
        <v>1232</v>
      </c>
      <c r="K127" s="69">
        <f>HLOOKUP($B$2,'WARD DATA'!$A$1:$AA$533,251,1)</f>
        <v>13.3</v>
      </c>
      <c r="L127" s="61"/>
    </row>
    <row r="128" spans="1:13" hidden="1" x14ac:dyDescent="0.2">
      <c r="A128" s="28"/>
      <c r="B128" s="91" t="s">
        <v>161</v>
      </c>
      <c r="C128" s="66"/>
      <c r="D128" s="67">
        <f>'WARD DATA'!D252</f>
        <v>17756052</v>
      </c>
      <c r="E128" s="96">
        <f>'WARD DATA'!D253</f>
        <v>42.2</v>
      </c>
      <c r="F128" s="67">
        <f>'WARD DATA'!E252</f>
        <v>1716496</v>
      </c>
      <c r="G128" s="100">
        <f>'WARD DATA'!E253</f>
        <v>41</v>
      </c>
      <c r="H128" s="68">
        <f>'WARD DATA'!F252</f>
        <v>71870</v>
      </c>
      <c r="I128" s="96">
        <f>'WARD DATA'!F253</f>
        <v>38.5</v>
      </c>
      <c r="J128" s="75">
        <f>HLOOKUP($B$2,'WARD DATA'!$A$1:$AA$533,252,1)</f>
        <v>3057</v>
      </c>
      <c r="K128" s="69">
        <f>HLOOKUP($B$2,'WARD DATA'!$A$1:$AA$533,253,1)</f>
        <v>33</v>
      </c>
      <c r="L128" s="61"/>
    </row>
    <row r="129" spans="1:12" ht="25.5" hidden="1" x14ac:dyDescent="0.2">
      <c r="A129" s="28"/>
      <c r="B129" s="91" t="s">
        <v>162</v>
      </c>
      <c r="C129" s="66"/>
      <c r="D129" s="67">
        <f>'WARD DATA'!D254</f>
        <v>10862019</v>
      </c>
      <c r="E129" s="96">
        <f>'WARD DATA'!D255</f>
        <v>25.8</v>
      </c>
      <c r="F129" s="67">
        <f>'WARD DATA'!E254</f>
        <v>1027115</v>
      </c>
      <c r="G129" s="100">
        <f>'WARD DATA'!E255</f>
        <v>24.5</v>
      </c>
      <c r="H129" s="68">
        <f>'WARD DATA'!F254</f>
        <v>40420</v>
      </c>
      <c r="I129" s="96">
        <f>'WARD DATA'!F255</f>
        <v>21.7</v>
      </c>
      <c r="J129" s="75">
        <f>HLOOKUP($B$2,'WARD DATA'!$A$1:$AA$533,254,1)</f>
        <v>1691</v>
      </c>
      <c r="K129" s="69">
        <f>HLOOKUP($B$2,'WARD DATA'!$A$1:$AA$533,255,1)</f>
        <v>18.2</v>
      </c>
      <c r="L129" s="61"/>
    </row>
    <row r="130" spans="1:12" ht="25.5" hidden="1" x14ac:dyDescent="0.2">
      <c r="A130" s="28"/>
      <c r="B130" s="91" t="s">
        <v>163</v>
      </c>
      <c r="C130" s="66"/>
      <c r="D130" s="67">
        <f>'WARD DATA'!D256</f>
        <v>613991</v>
      </c>
      <c r="E130" s="96">
        <f>'WARD DATA'!D257</f>
        <v>1.5</v>
      </c>
      <c r="F130" s="67">
        <f>'WARD DATA'!E256</f>
        <v>52906</v>
      </c>
      <c r="G130" s="100">
        <f>'WARD DATA'!E257</f>
        <v>1.3</v>
      </c>
      <c r="H130" s="68">
        <f>'WARD DATA'!F256</f>
        <v>1483</v>
      </c>
      <c r="I130" s="96">
        <f>'WARD DATA'!F257</f>
        <v>0.8</v>
      </c>
      <c r="J130" s="75">
        <f>HLOOKUP($B$2,'WARD DATA'!$A$1:$AA$533,256,1)</f>
        <v>75</v>
      </c>
      <c r="K130" s="69">
        <f>HLOOKUP($B$2,'WARD DATA'!$A$1:$AA$533,257,1)</f>
        <v>0.8</v>
      </c>
      <c r="L130" s="61"/>
    </row>
    <row r="131" spans="1:12" ht="25.5" hidden="1" x14ac:dyDescent="0.2">
      <c r="A131" s="28"/>
      <c r="B131" s="91" t="s">
        <v>164</v>
      </c>
      <c r="C131" s="66"/>
      <c r="D131" s="67">
        <f>'WARD DATA'!D258</f>
        <v>898194</v>
      </c>
      <c r="E131" s="96">
        <f>'WARD DATA'!D259</f>
        <v>2.1</v>
      </c>
      <c r="F131" s="67">
        <f>'WARD DATA'!E258</f>
        <v>86572</v>
      </c>
      <c r="G131" s="100">
        <f>'WARD DATA'!E259</f>
        <v>2.1</v>
      </c>
      <c r="H131" s="68">
        <f>'WARD DATA'!F258</f>
        <v>3579</v>
      </c>
      <c r="I131" s="96">
        <f>'WARD DATA'!F259</f>
        <v>1.9</v>
      </c>
      <c r="J131" s="75">
        <f>HLOOKUP($B$2,'WARD DATA'!$A$1:$AA$533,258,1)</f>
        <v>162</v>
      </c>
      <c r="K131" s="69">
        <f>HLOOKUP($B$2,'WARD DATA'!$A$1:$AA$533,259,1)</f>
        <v>1.7</v>
      </c>
      <c r="L131" s="61"/>
    </row>
    <row r="132" spans="1:12" ht="25.5" hidden="1" x14ac:dyDescent="0.2">
      <c r="A132" s="28"/>
      <c r="B132" s="91" t="s">
        <v>165</v>
      </c>
      <c r="C132" s="66"/>
      <c r="D132" s="67">
        <f>'WARD DATA'!D260</f>
        <v>2745873</v>
      </c>
      <c r="E132" s="96">
        <f>'WARD DATA'!D261</f>
        <v>6.5</v>
      </c>
      <c r="F132" s="67">
        <f>'WARD DATA'!E260</f>
        <v>276625</v>
      </c>
      <c r="G132" s="100">
        <f>'WARD DATA'!E261</f>
        <v>6.6</v>
      </c>
      <c r="H132" s="68">
        <f>'WARD DATA'!F260</f>
        <v>13384</v>
      </c>
      <c r="I132" s="96">
        <f>'WARD DATA'!F261</f>
        <v>7.2</v>
      </c>
      <c r="J132" s="75">
        <f>HLOOKUP($B$2,'WARD DATA'!$A$1:$AA$533,260,1)</f>
        <v>574</v>
      </c>
      <c r="K132" s="69">
        <f>HLOOKUP($B$2,'WARD DATA'!$A$1:$AA$533,261,1)</f>
        <v>6.2</v>
      </c>
      <c r="L132" s="61"/>
    </row>
    <row r="133" spans="1:12" ht="25.5" hidden="1" x14ac:dyDescent="0.2">
      <c r="A133" s="29"/>
      <c r="B133" s="92" t="s">
        <v>166</v>
      </c>
      <c r="C133" s="70"/>
      <c r="D133" s="71">
        <f>'WARD DATA'!D262</f>
        <v>2635975</v>
      </c>
      <c r="E133" s="97">
        <f>'WARD DATA'!D263</f>
        <v>6.3</v>
      </c>
      <c r="F133" s="71">
        <f>'WARD DATA'!E262</f>
        <v>273278</v>
      </c>
      <c r="G133" s="101">
        <f>'WARD DATA'!E263</f>
        <v>6.5</v>
      </c>
      <c r="H133" s="72">
        <f>'WARD DATA'!F262</f>
        <v>13004</v>
      </c>
      <c r="I133" s="97">
        <f>'WARD DATA'!F263</f>
        <v>7</v>
      </c>
      <c r="J133" s="76">
        <f>HLOOKUP($B$2,'WARD DATA'!$A$1:$AA$533,262,1)</f>
        <v>555</v>
      </c>
      <c r="K133" s="73">
        <f>HLOOKUP($B$2,'WARD DATA'!$A$1:$AA$533,263,1)</f>
        <v>6</v>
      </c>
      <c r="L133" s="61"/>
    </row>
    <row r="134" spans="1:12" hidden="1" x14ac:dyDescent="0.2">
      <c r="A134" s="104"/>
      <c r="B134" s="91"/>
      <c r="D134" s="47"/>
      <c r="E134" s="96"/>
      <c r="F134" s="47"/>
      <c r="G134" s="100"/>
      <c r="H134" s="20"/>
      <c r="I134" s="96"/>
      <c r="J134" s="53"/>
      <c r="K134" s="69"/>
      <c r="L134" s="61"/>
    </row>
    <row r="135" spans="1:12" hidden="1" x14ac:dyDescent="0.2">
      <c r="A135" s="27" t="s">
        <v>366</v>
      </c>
      <c r="B135" s="93" t="s">
        <v>41</v>
      </c>
      <c r="C135" s="62"/>
      <c r="D135" s="63">
        <f>'WARD DATA'!D264</f>
        <v>54596</v>
      </c>
      <c r="E135" s="95" t="s">
        <v>30</v>
      </c>
      <c r="F135" s="63">
        <f>'WARD DATA'!E264</f>
        <v>4912</v>
      </c>
      <c r="G135" s="99" t="s">
        <v>30</v>
      </c>
      <c r="H135" s="64">
        <f>'WARD DATA'!F264</f>
        <v>107</v>
      </c>
      <c r="I135" s="95" t="s">
        <v>30</v>
      </c>
      <c r="J135" s="74">
        <f>HLOOKUP($B$2,'WARD DATA'!$A$1:$AA$533,264,1)</f>
        <v>8</v>
      </c>
      <c r="K135" s="65" t="str">
        <f>HLOOKUP($B$2,'WARD DATA'!$A$1:$AA$533,265,1)</f>
        <v>-</v>
      </c>
      <c r="L135" s="61"/>
    </row>
    <row r="136" spans="1:12" ht="25.5" hidden="1" x14ac:dyDescent="0.2">
      <c r="A136" s="28" t="s">
        <v>367</v>
      </c>
      <c r="B136" s="91" t="s">
        <v>42</v>
      </c>
      <c r="C136" s="66"/>
      <c r="D136" s="67">
        <f>'WARD DATA'!D266</f>
        <v>952525</v>
      </c>
      <c r="E136" s="96">
        <f>'WARD DATA'!D267</f>
        <v>100</v>
      </c>
      <c r="F136" s="67">
        <f>'WARD DATA'!E266</f>
        <v>98056</v>
      </c>
      <c r="G136" s="100">
        <f>'WARD DATA'!E267</f>
        <v>100</v>
      </c>
      <c r="H136" s="68">
        <f>'WARD DATA'!F266</f>
        <v>1682</v>
      </c>
      <c r="I136" s="96">
        <f>'WARD DATA'!F267</f>
        <v>100</v>
      </c>
      <c r="J136" s="75">
        <f>HLOOKUP($B$2,'WARD DATA'!$A$1:$AA$533,266,1)</f>
        <v>16</v>
      </c>
      <c r="K136" s="69">
        <f>HLOOKUP($B$2,'WARD DATA'!$A$1:$AA$533,267,1)</f>
        <v>100</v>
      </c>
      <c r="L136" s="61"/>
    </row>
    <row r="137" spans="1:12" hidden="1" x14ac:dyDescent="0.2">
      <c r="A137" s="28"/>
      <c r="B137" s="91" t="s">
        <v>43</v>
      </c>
      <c r="C137" s="66"/>
      <c r="D137" s="67">
        <f>'WARD DATA'!D268</f>
        <v>1468</v>
      </c>
      <c r="E137" s="96">
        <f>'WARD DATA'!D269</f>
        <v>0.2</v>
      </c>
      <c r="F137" s="67">
        <f>'WARD DATA'!E268</f>
        <v>137</v>
      </c>
      <c r="G137" s="100">
        <f>'WARD DATA'!E269</f>
        <v>0.1</v>
      </c>
      <c r="H137" s="68">
        <f>'WARD DATA'!F268</f>
        <v>27</v>
      </c>
      <c r="I137" s="96">
        <f>'WARD DATA'!F269</f>
        <v>1.6</v>
      </c>
      <c r="J137" s="75">
        <f>HLOOKUP($B$2,'WARD DATA'!$A$1:$AA$533,268,1)</f>
        <v>0</v>
      </c>
      <c r="K137" s="69">
        <f>HLOOKUP($B$2,'WARD DATA'!$A$1:$AA$533,269,1)</f>
        <v>0</v>
      </c>
      <c r="L137" s="61"/>
    </row>
    <row r="138" spans="1:12" ht="25.5" hidden="1" x14ac:dyDescent="0.2">
      <c r="A138" s="28"/>
      <c r="B138" s="91" t="s">
        <v>44</v>
      </c>
      <c r="C138" s="66"/>
      <c r="D138" s="67">
        <f>'WARD DATA'!D270</f>
        <v>6810</v>
      </c>
      <c r="E138" s="96">
        <f>'WARD DATA'!D271</f>
        <v>0.7</v>
      </c>
      <c r="F138" s="67">
        <f>'WARD DATA'!E270</f>
        <v>438</v>
      </c>
      <c r="G138" s="100">
        <f>'WARD DATA'!E271</f>
        <v>0.4</v>
      </c>
      <c r="H138" s="68">
        <f>'WARD DATA'!F270</f>
        <v>0</v>
      </c>
      <c r="I138" s="96">
        <f>'WARD DATA'!F271</f>
        <v>0</v>
      </c>
      <c r="J138" s="75">
        <f>HLOOKUP($B$2,'WARD DATA'!$A$1:$AA$533,270,1)</f>
        <v>0</v>
      </c>
      <c r="K138" s="69">
        <f>HLOOKUP($B$2,'WARD DATA'!$A$1:$AA$533,271,1)</f>
        <v>0</v>
      </c>
      <c r="L138" s="61"/>
    </row>
    <row r="139" spans="1:12" hidden="1" x14ac:dyDescent="0.2">
      <c r="A139" s="28"/>
      <c r="B139" s="91" t="s">
        <v>45</v>
      </c>
      <c r="C139" s="66"/>
      <c r="D139" s="67">
        <f>'WARD DATA'!D272</f>
        <v>1927</v>
      </c>
      <c r="E139" s="96">
        <f>'WARD DATA'!D273</f>
        <v>0.2</v>
      </c>
      <c r="F139" s="67">
        <f>'WARD DATA'!E272</f>
        <v>170</v>
      </c>
      <c r="G139" s="100">
        <f>'WARD DATA'!E273</f>
        <v>0.2</v>
      </c>
      <c r="H139" s="68">
        <f>'WARD DATA'!F272</f>
        <v>0</v>
      </c>
      <c r="I139" s="96">
        <f>'WARD DATA'!F273</f>
        <v>0</v>
      </c>
      <c r="J139" s="75">
        <f>HLOOKUP($B$2,'WARD DATA'!$A$1:$AA$533,272,1)</f>
        <v>0</v>
      </c>
      <c r="K139" s="69">
        <f>HLOOKUP($B$2,'WARD DATA'!$A$1:$AA$533,273,1)</f>
        <v>0</v>
      </c>
      <c r="L139" s="61"/>
    </row>
    <row r="140" spans="1:12" ht="25.5" hidden="1" x14ac:dyDescent="0.2">
      <c r="A140" s="28"/>
      <c r="B140" s="91" t="s">
        <v>46</v>
      </c>
      <c r="C140" s="66"/>
      <c r="D140" s="67">
        <f>'WARD DATA'!D274</f>
        <v>1068</v>
      </c>
      <c r="E140" s="96">
        <f>'WARD DATA'!D275</f>
        <v>0.1</v>
      </c>
      <c r="F140" s="67">
        <f>'WARD DATA'!E274</f>
        <v>195</v>
      </c>
      <c r="G140" s="100">
        <f>'WARD DATA'!E275</f>
        <v>0.2</v>
      </c>
      <c r="H140" s="68">
        <f>'WARD DATA'!F274</f>
        <v>0</v>
      </c>
      <c r="I140" s="96">
        <f>'WARD DATA'!F275</f>
        <v>0</v>
      </c>
      <c r="J140" s="75">
        <f>HLOOKUP($B$2,'WARD DATA'!$A$1:$AA$533,274,1)</f>
        <v>0</v>
      </c>
      <c r="K140" s="69">
        <f>HLOOKUP($B$2,'WARD DATA'!$A$1:$AA$533,275,1)</f>
        <v>0</v>
      </c>
      <c r="L140" s="61"/>
    </row>
    <row r="141" spans="1:12" ht="25.5" hidden="1" x14ac:dyDescent="0.2">
      <c r="A141" s="28"/>
      <c r="B141" s="91" t="s">
        <v>47</v>
      </c>
      <c r="C141" s="66"/>
      <c r="D141" s="67">
        <f>'WARD DATA'!D276</f>
        <v>15452</v>
      </c>
      <c r="E141" s="96">
        <f>'WARD DATA'!D277</f>
        <v>1.6</v>
      </c>
      <c r="F141" s="67">
        <f>'WARD DATA'!E276</f>
        <v>2041</v>
      </c>
      <c r="G141" s="100">
        <f>'WARD DATA'!E277</f>
        <v>2.1</v>
      </c>
      <c r="H141" s="68">
        <f>'WARD DATA'!F276</f>
        <v>6</v>
      </c>
      <c r="I141" s="96">
        <f>'WARD DATA'!F277</f>
        <v>0.4</v>
      </c>
      <c r="J141" s="75">
        <f>HLOOKUP($B$2,'WARD DATA'!$A$1:$AA$533,276,1)</f>
        <v>0</v>
      </c>
      <c r="K141" s="69">
        <f>HLOOKUP($B$2,'WARD DATA'!$A$1:$AA$533,277,1)</f>
        <v>0</v>
      </c>
      <c r="L141" s="61"/>
    </row>
    <row r="142" spans="1:12" ht="25.5" hidden="1" x14ac:dyDescent="0.2">
      <c r="A142" s="28"/>
      <c r="B142" s="91" t="s">
        <v>48</v>
      </c>
      <c r="C142" s="66"/>
      <c r="D142" s="67">
        <f>'WARD DATA'!D278</f>
        <v>5965</v>
      </c>
      <c r="E142" s="96">
        <f>'WARD DATA'!D279</f>
        <v>0.6</v>
      </c>
      <c r="F142" s="67">
        <f>'WARD DATA'!E278</f>
        <v>399</v>
      </c>
      <c r="G142" s="100">
        <f>'WARD DATA'!E279</f>
        <v>0.4</v>
      </c>
      <c r="H142" s="68">
        <f>'WARD DATA'!F278</f>
        <v>9</v>
      </c>
      <c r="I142" s="96">
        <f>'WARD DATA'!F279</f>
        <v>0.5</v>
      </c>
      <c r="J142" s="75">
        <f>HLOOKUP($B$2,'WARD DATA'!$A$1:$AA$533,278,1)</f>
        <v>0</v>
      </c>
      <c r="K142" s="69">
        <f>HLOOKUP($B$2,'WARD DATA'!$A$1:$AA$533,279,1)</f>
        <v>0</v>
      </c>
      <c r="L142" s="61"/>
    </row>
    <row r="143" spans="1:12" hidden="1" x14ac:dyDescent="0.2">
      <c r="A143" s="28"/>
      <c r="B143" s="91" t="s">
        <v>49</v>
      </c>
      <c r="C143" s="66"/>
      <c r="D143" s="67">
        <f>'WARD DATA'!D280</f>
        <v>140547</v>
      </c>
      <c r="E143" s="96">
        <f>'WARD DATA'!D281</f>
        <v>14.8</v>
      </c>
      <c r="F143" s="67">
        <f>'WARD DATA'!E280</f>
        <v>13799</v>
      </c>
      <c r="G143" s="100">
        <f>'WARD DATA'!E281</f>
        <v>14.1</v>
      </c>
      <c r="H143" s="68">
        <f>'WARD DATA'!F280</f>
        <v>640</v>
      </c>
      <c r="I143" s="96">
        <f>'WARD DATA'!F281</f>
        <v>38</v>
      </c>
      <c r="J143" s="75">
        <f>HLOOKUP($B$2,'WARD DATA'!$A$1:$AA$533,280,1)</f>
        <v>0</v>
      </c>
      <c r="K143" s="69">
        <f>HLOOKUP($B$2,'WARD DATA'!$A$1:$AA$533,281,1)</f>
        <v>0</v>
      </c>
      <c r="L143" s="61"/>
    </row>
    <row r="144" spans="1:12" hidden="1" x14ac:dyDescent="0.2">
      <c r="A144" s="28"/>
      <c r="B144" s="91" t="s">
        <v>50</v>
      </c>
      <c r="C144" s="66"/>
      <c r="D144" s="67">
        <f>'WARD DATA'!D282</f>
        <v>205360</v>
      </c>
      <c r="E144" s="96">
        <f>'WARD DATA'!D283</f>
        <v>21.6</v>
      </c>
      <c r="F144" s="67">
        <f>'WARD DATA'!E282</f>
        <v>19787</v>
      </c>
      <c r="G144" s="100">
        <f>'WARD DATA'!E283</f>
        <v>20.2</v>
      </c>
      <c r="H144" s="68">
        <f>'WARD DATA'!F282</f>
        <v>849</v>
      </c>
      <c r="I144" s="96">
        <f>'WARD DATA'!F283</f>
        <v>50.5</v>
      </c>
      <c r="J144" s="75">
        <f>HLOOKUP($B$2,'WARD DATA'!$A$1:$AA$533,282,1)</f>
        <v>4</v>
      </c>
      <c r="K144" s="69">
        <f>HLOOKUP($B$2,'WARD DATA'!$A$1:$AA$533,283,1)</f>
        <v>25</v>
      </c>
      <c r="L144" s="61"/>
    </row>
    <row r="145" spans="1:12" ht="25.5" hidden="1" x14ac:dyDescent="0.2">
      <c r="A145" s="28"/>
      <c r="B145" s="91" t="s">
        <v>51</v>
      </c>
      <c r="C145" s="66"/>
      <c r="D145" s="67">
        <f>'WARD DATA'!D284</f>
        <v>2557</v>
      </c>
      <c r="E145" s="96">
        <f>'WARD DATA'!D285</f>
        <v>0.3</v>
      </c>
      <c r="F145" s="67">
        <f>'WARD DATA'!E284</f>
        <v>197</v>
      </c>
      <c r="G145" s="100">
        <f>'WARD DATA'!E285</f>
        <v>0.2</v>
      </c>
      <c r="H145" s="68">
        <f>'WARD DATA'!F284</f>
        <v>16</v>
      </c>
      <c r="I145" s="96">
        <f>'WARD DATA'!F285</f>
        <v>1</v>
      </c>
      <c r="J145" s="75">
        <f>HLOOKUP($B$2,'WARD DATA'!$A$1:$AA$533,284,1)</f>
        <v>0</v>
      </c>
      <c r="K145" s="69">
        <f>HLOOKUP($B$2,'WARD DATA'!$A$1:$AA$533,285,1)</f>
        <v>0</v>
      </c>
      <c r="L145" s="61"/>
    </row>
    <row r="146" spans="1:12" hidden="1" x14ac:dyDescent="0.2">
      <c r="A146" s="28"/>
      <c r="B146" s="91" t="s">
        <v>52</v>
      </c>
      <c r="C146" s="66"/>
      <c r="D146" s="67">
        <f>'WARD DATA'!D286</f>
        <v>15372</v>
      </c>
      <c r="E146" s="96">
        <f>'WARD DATA'!D287</f>
        <v>1.6</v>
      </c>
      <c r="F146" s="67">
        <f>'WARD DATA'!E286</f>
        <v>1337</v>
      </c>
      <c r="G146" s="100">
        <f>'WARD DATA'!E287</f>
        <v>1.4</v>
      </c>
      <c r="H146" s="68">
        <f>'WARD DATA'!F286</f>
        <v>40</v>
      </c>
      <c r="I146" s="96">
        <f>'WARD DATA'!F287</f>
        <v>2.4</v>
      </c>
      <c r="J146" s="75">
        <f>HLOOKUP($B$2,'WARD DATA'!$A$1:$AA$533,286,1)</f>
        <v>0</v>
      </c>
      <c r="K146" s="69">
        <f>HLOOKUP($B$2,'WARD DATA'!$A$1:$AA$533,287,1)</f>
        <v>0</v>
      </c>
      <c r="L146" s="61"/>
    </row>
    <row r="147" spans="1:12" hidden="1" x14ac:dyDescent="0.2">
      <c r="A147" s="28"/>
      <c r="B147" s="91" t="s">
        <v>53</v>
      </c>
      <c r="C147" s="66"/>
      <c r="D147" s="67">
        <f>'WARD DATA'!D288</f>
        <v>544474</v>
      </c>
      <c r="E147" s="96">
        <f>'WARD DATA'!D289</f>
        <v>57.2</v>
      </c>
      <c r="F147" s="67">
        <f>'WARD DATA'!E288</f>
        <v>58879</v>
      </c>
      <c r="G147" s="100">
        <f>'WARD DATA'!E289</f>
        <v>60</v>
      </c>
      <c r="H147" s="68">
        <f>'WARD DATA'!F288</f>
        <v>92</v>
      </c>
      <c r="I147" s="96">
        <f>'WARD DATA'!F289</f>
        <v>5.5</v>
      </c>
      <c r="J147" s="75">
        <f>HLOOKUP($B$2,'WARD DATA'!$A$1:$AA$533,288,1)</f>
        <v>12</v>
      </c>
      <c r="K147" s="69">
        <f>HLOOKUP($B$2,'WARD DATA'!$A$1:$AA$533,289,1)</f>
        <v>75</v>
      </c>
      <c r="L147" s="61"/>
    </row>
    <row r="148" spans="1:12" hidden="1" x14ac:dyDescent="0.2">
      <c r="A148" s="29"/>
      <c r="B148" s="92" t="s">
        <v>54</v>
      </c>
      <c r="C148" s="70"/>
      <c r="D148" s="71">
        <f>'WARD DATA'!D290</f>
        <v>11525</v>
      </c>
      <c r="E148" s="97">
        <f>'WARD DATA'!D291</f>
        <v>1.2</v>
      </c>
      <c r="F148" s="71">
        <f>'WARD DATA'!E290</f>
        <v>677</v>
      </c>
      <c r="G148" s="101">
        <f>'WARD DATA'!E291</f>
        <v>0.7</v>
      </c>
      <c r="H148" s="72">
        <f>'WARD DATA'!F290</f>
        <v>3</v>
      </c>
      <c r="I148" s="97">
        <f>'WARD DATA'!F291</f>
        <v>0.2</v>
      </c>
      <c r="J148" s="76">
        <f>HLOOKUP($B$2,'WARD DATA'!$A$1:$AA$533,290,1)</f>
        <v>0</v>
      </c>
      <c r="K148" s="73">
        <f>HLOOKUP($B$2,'WARD DATA'!$A$1:$AA$533,291,1)</f>
        <v>0</v>
      </c>
      <c r="L148" s="61"/>
    </row>
    <row r="149" spans="1:12" hidden="1" x14ac:dyDescent="0.2">
      <c r="A149" s="104"/>
      <c r="B149" s="91"/>
      <c r="D149" s="47"/>
      <c r="E149" s="96"/>
      <c r="F149" s="47"/>
      <c r="G149" s="100"/>
      <c r="H149" s="20"/>
      <c r="I149" s="96"/>
      <c r="J149" s="53"/>
      <c r="K149" s="69"/>
      <c r="L149" s="61"/>
    </row>
    <row r="150" spans="1:12" hidden="1" x14ac:dyDescent="0.2">
      <c r="A150" s="27" t="s">
        <v>350</v>
      </c>
      <c r="B150" s="93" t="s">
        <v>168</v>
      </c>
      <c r="C150" s="62"/>
      <c r="D150" s="63">
        <f>'WARD DATA'!D292</f>
        <v>1564681</v>
      </c>
      <c r="E150" s="95">
        <f>'WARD DATA'!D293</f>
        <v>100</v>
      </c>
      <c r="F150" s="63">
        <f>'WARD DATA'!E292</f>
        <v>157980</v>
      </c>
      <c r="G150" s="99">
        <f>'WARD DATA'!E293</f>
        <v>100</v>
      </c>
      <c r="H150" s="64">
        <f>'WARD DATA'!F292</f>
        <v>7865</v>
      </c>
      <c r="I150" s="95">
        <f>'WARD DATA'!F293</f>
        <v>100</v>
      </c>
      <c r="J150" s="74">
        <f>HLOOKUP($B$2,'WARD DATA'!$A$1:$AA$533,292,1)</f>
        <v>271</v>
      </c>
      <c r="K150" s="65">
        <f>HLOOKUP($B$2,'WARD DATA'!$A$1:$AA$533,293,1)</f>
        <v>100</v>
      </c>
      <c r="L150" s="61"/>
    </row>
    <row r="151" spans="1:12" hidden="1" x14ac:dyDescent="0.2">
      <c r="A151" s="28" t="s">
        <v>351</v>
      </c>
      <c r="B151" s="91" t="s">
        <v>169</v>
      </c>
      <c r="C151" s="66"/>
      <c r="D151" s="67">
        <f>'WARD DATA'!D294</f>
        <v>522789</v>
      </c>
      <c r="E151" s="96">
        <f>'WARD DATA'!D295</f>
        <v>33.4</v>
      </c>
      <c r="F151" s="67">
        <f>'WARD DATA'!E294</f>
        <v>55202</v>
      </c>
      <c r="G151" s="100">
        <f>'WARD DATA'!E295</f>
        <v>34.9</v>
      </c>
      <c r="H151" s="68">
        <f>'WARD DATA'!F294</f>
        <v>2650</v>
      </c>
      <c r="I151" s="96">
        <f>'WARD DATA'!F295</f>
        <v>33.700000000000003</v>
      </c>
      <c r="J151" s="75">
        <f>HLOOKUP($B$2,'WARD DATA'!$A$1:$AA$533,294,1)</f>
        <v>113</v>
      </c>
      <c r="K151" s="69">
        <f>HLOOKUP($B$2,'WARD DATA'!$A$1:$AA$533,295,1)</f>
        <v>41.7</v>
      </c>
      <c r="L151" s="61"/>
    </row>
    <row r="152" spans="1:12" hidden="1" x14ac:dyDescent="0.2">
      <c r="A152" s="28" t="s">
        <v>352</v>
      </c>
      <c r="B152" s="91" t="s">
        <v>170</v>
      </c>
      <c r="C152" s="66"/>
      <c r="D152" s="67">
        <f>'WARD DATA'!D296</f>
        <v>407873</v>
      </c>
      <c r="E152" s="96">
        <f>'WARD DATA'!D297</f>
        <v>26.1</v>
      </c>
      <c r="F152" s="67">
        <f>'WARD DATA'!E296</f>
        <v>40067</v>
      </c>
      <c r="G152" s="100">
        <f>'WARD DATA'!E297</f>
        <v>25.4</v>
      </c>
      <c r="H152" s="68">
        <f>'WARD DATA'!F296</f>
        <v>1846</v>
      </c>
      <c r="I152" s="96">
        <f>'WARD DATA'!F297</f>
        <v>23.5</v>
      </c>
      <c r="J152" s="75">
        <f>HLOOKUP($B$2,'WARD DATA'!$A$1:$AA$533,296,1)</f>
        <v>104</v>
      </c>
      <c r="K152" s="69">
        <f>HLOOKUP($B$2,'WARD DATA'!$A$1:$AA$533,297,1)</f>
        <v>38.4</v>
      </c>
      <c r="L152" s="61"/>
    </row>
    <row r="153" spans="1:12" hidden="1" x14ac:dyDescent="0.2">
      <c r="A153" s="28" t="s">
        <v>353</v>
      </c>
      <c r="B153" s="91" t="s">
        <v>171</v>
      </c>
      <c r="C153" s="66"/>
      <c r="D153" s="67">
        <f>'WARD DATA'!D298</f>
        <v>634019</v>
      </c>
      <c r="E153" s="96">
        <f>'WARD DATA'!D299</f>
        <v>40.5</v>
      </c>
      <c r="F153" s="67">
        <f>'WARD DATA'!E298</f>
        <v>62711</v>
      </c>
      <c r="G153" s="100">
        <f>'WARD DATA'!E299</f>
        <v>39.700000000000003</v>
      </c>
      <c r="H153" s="68">
        <f>'WARD DATA'!F298</f>
        <v>3369</v>
      </c>
      <c r="I153" s="96">
        <f>'WARD DATA'!F299</f>
        <v>42.8</v>
      </c>
      <c r="J153" s="75">
        <f>HLOOKUP($B$2,'WARD DATA'!$A$1:$AA$533,298,1)</f>
        <v>54</v>
      </c>
      <c r="K153" s="69">
        <f>HLOOKUP($B$2,'WARD DATA'!$A$1:$AA$533,299,1)</f>
        <v>19.899999999999999</v>
      </c>
      <c r="L153" s="61"/>
    </row>
    <row r="154" spans="1:12" hidden="1" x14ac:dyDescent="0.2">
      <c r="A154" s="28"/>
      <c r="B154" s="91" t="s">
        <v>357</v>
      </c>
      <c r="C154" s="66"/>
      <c r="D154" s="67">
        <f>'WARD DATA'!D300</f>
        <v>151744</v>
      </c>
      <c r="E154" s="96">
        <f>'WARD DATA'!D301</f>
        <v>9.6999999999999993</v>
      </c>
      <c r="F154" s="67">
        <f>'WARD DATA'!E300</f>
        <v>16109</v>
      </c>
      <c r="G154" s="100">
        <f>'WARD DATA'!E301</f>
        <v>10.199999999999999</v>
      </c>
      <c r="H154" s="68">
        <f>'WARD DATA'!F300</f>
        <v>915</v>
      </c>
      <c r="I154" s="96">
        <f>'WARD DATA'!F301</f>
        <v>11.6</v>
      </c>
      <c r="J154" s="75">
        <f>HLOOKUP($B$2,'WARD DATA'!$A$1:$AA$533,300,1)</f>
        <v>40</v>
      </c>
      <c r="K154" s="69">
        <f>HLOOKUP($B$2,'WARD DATA'!$A$1:$AA$533,301,1)</f>
        <v>14.760147601476014</v>
      </c>
      <c r="L154" s="61"/>
    </row>
    <row r="155" spans="1:12" hidden="1" x14ac:dyDescent="0.2">
      <c r="A155" s="28"/>
      <c r="B155" s="91" t="s">
        <v>172</v>
      </c>
      <c r="C155" s="66"/>
      <c r="D155" s="67">
        <f>'WARD DATA'!D302</f>
        <v>22130</v>
      </c>
      <c r="E155" s="96">
        <f>'WARD DATA'!D303</f>
        <v>1.4</v>
      </c>
      <c r="F155" s="67">
        <f>'WARD DATA'!E302</f>
        <v>2249</v>
      </c>
      <c r="G155" s="100">
        <f>'WARD DATA'!E303</f>
        <v>1.4</v>
      </c>
      <c r="H155" s="68">
        <f>'WARD DATA'!F302</f>
        <v>124</v>
      </c>
      <c r="I155" s="96">
        <f>'WARD DATA'!F303</f>
        <v>1.6</v>
      </c>
      <c r="J155" s="75">
        <f>HLOOKUP($B$2,'WARD DATA'!$A$1:$AA$533,302,1)</f>
        <v>8</v>
      </c>
      <c r="K155" s="69">
        <f>HLOOKUP($B$2,'WARD DATA'!$A$1:$AA$533,303,1)</f>
        <v>3</v>
      </c>
      <c r="L155" s="61"/>
    </row>
    <row r="156" spans="1:12" hidden="1" x14ac:dyDescent="0.2">
      <c r="A156" s="28"/>
      <c r="B156" s="91" t="s">
        <v>173</v>
      </c>
      <c r="C156" s="66"/>
      <c r="D156" s="67">
        <f>'WARD DATA'!D304</f>
        <v>80078</v>
      </c>
      <c r="E156" s="96">
        <f>'WARD DATA'!D305</f>
        <v>5.0999999999999996</v>
      </c>
      <c r="F156" s="67">
        <f>'WARD DATA'!E304</f>
        <v>8515</v>
      </c>
      <c r="G156" s="100">
        <f>'WARD DATA'!E305</f>
        <v>5.4</v>
      </c>
      <c r="H156" s="68">
        <f>'WARD DATA'!F304</f>
        <v>438</v>
      </c>
      <c r="I156" s="96">
        <f>'WARD DATA'!F305</f>
        <v>5.6</v>
      </c>
      <c r="J156" s="75">
        <f>HLOOKUP($B$2,'WARD DATA'!$A$1:$AA$533,304,1)</f>
        <v>28</v>
      </c>
      <c r="K156" s="69">
        <f>HLOOKUP($B$2,'WARD DATA'!$A$1:$AA$533,305,1)</f>
        <v>10.3</v>
      </c>
      <c r="L156" s="61"/>
    </row>
    <row r="157" spans="1:12" hidden="1" x14ac:dyDescent="0.2">
      <c r="A157" s="28"/>
      <c r="B157" s="91" t="s">
        <v>174</v>
      </c>
      <c r="C157" s="66"/>
      <c r="D157" s="67">
        <f>'WARD DATA'!D306</f>
        <v>49536</v>
      </c>
      <c r="E157" s="96">
        <f>'WARD DATA'!D307</f>
        <v>3.2</v>
      </c>
      <c r="F157" s="67">
        <f>'WARD DATA'!E306</f>
        <v>5345</v>
      </c>
      <c r="G157" s="100">
        <f>'WARD DATA'!E307</f>
        <v>3.4</v>
      </c>
      <c r="H157" s="68">
        <f>'WARD DATA'!F306</f>
        <v>353</v>
      </c>
      <c r="I157" s="96">
        <f>'WARD DATA'!F307</f>
        <v>4.5</v>
      </c>
      <c r="J157" s="75">
        <f>HLOOKUP($B$2,'WARD DATA'!$A$1:$AA$533,306,1)</f>
        <v>4</v>
      </c>
      <c r="K157" s="69">
        <f>HLOOKUP($B$2,'WARD DATA'!$A$1:$AA$533,307,1)</f>
        <v>1.5</v>
      </c>
      <c r="L157" s="61"/>
    </row>
    <row r="158" spans="1:12" hidden="1" x14ac:dyDescent="0.2">
      <c r="A158" s="28"/>
      <c r="B158" s="91" t="s">
        <v>175</v>
      </c>
      <c r="C158" s="66"/>
      <c r="D158" s="67">
        <f>'WARD DATA'!D308</f>
        <v>1412937</v>
      </c>
      <c r="E158" s="96">
        <f>'WARD DATA'!D309</f>
        <v>90.3</v>
      </c>
      <c r="F158" s="67">
        <f>'WARD DATA'!E308</f>
        <v>141871</v>
      </c>
      <c r="G158" s="100">
        <f>'WARD DATA'!E309</f>
        <v>89.8</v>
      </c>
      <c r="H158" s="68">
        <f>'WARD DATA'!F308</f>
        <v>6950</v>
      </c>
      <c r="I158" s="96">
        <f>'WARD DATA'!F309</f>
        <v>88.4</v>
      </c>
      <c r="J158" s="75">
        <f>HLOOKUP($B$2,'WARD DATA'!$A$1:$AA$533,308,1)</f>
        <v>231</v>
      </c>
      <c r="K158" s="69">
        <f>HLOOKUP($B$2,'WARD DATA'!$A$1:$AA$533,309,1)</f>
        <v>85.2</v>
      </c>
      <c r="L158" s="61"/>
    </row>
    <row r="159" spans="1:12" hidden="1" x14ac:dyDescent="0.2">
      <c r="A159" s="28"/>
      <c r="B159" s="91" t="s">
        <v>176</v>
      </c>
      <c r="C159" s="66"/>
      <c r="D159" s="67">
        <f>'WARD DATA'!D310</f>
        <v>500659</v>
      </c>
      <c r="E159" s="96">
        <f>'WARD DATA'!D311</f>
        <v>32</v>
      </c>
      <c r="F159" s="67">
        <f>'WARD DATA'!E310</f>
        <v>52953</v>
      </c>
      <c r="G159" s="100">
        <f>'WARD DATA'!E311</f>
        <v>33.5</v>
      </c>
      <c r="H159" s="68">
        <f>'WARD DATA'!F310</f>
        <v>2526</v>
      </c>
      <c r="I159" s="96">
        <f>'WARD DATA'!F311</f>
        <v>32.1</v>
      </c>
      <c r="J159" s="75">
        <f>HLOOKUP($B$2,'WARD DATA'!$A$1:$AA$533,310,1)</f>
        <v>105</v>
      </c>
      <c r="K159" s="69">
        <f>HLOOKUP($B$2,'WARD DATA'!$A$1:$AA$533,311,1)</f>
        <v>38.700000000000003</v>
      </c>
      <c r="L159" s="61"/>
    </row>
    <row r="160" spans="1:12" hidden="1" x14ac:dyDescent="0.2">
      <c r="A160" s="28"/>
      <c r="B160" s="91" t="s">
        <v>177</v>
      </c>
      <c r="C160" s="66"/>
      <c r="D160" s="67">
        <f>'WARD DATA'!D312</f>
        <v>327795</v>
      </c>
      <c r="E160" s="96">
        <f>'WARD DATA'!D313</f>
        <v>20.9</v>
      </c>
      <c r="F160" s="67">
        <f>'WARD DATA'!E312</f>
        <v>31552</v>
      </c>
      <c r="G160" s="100">
        <f>'WARD DATA'!E313</f>
        <v>20</v>
      </c>
      <c r="H160" s="68">
        <f>'WARD DATA'!F312</f>
        <v>1408</v>
      </c>
      <c r="I160" s="96">
        <f>'WARD DATA'!F313</f>
        <v>17.899999999999999</v>
      </c>
      <c r="J160" s="75">
        <f>HLOOKUP($B$2,'WARD DATA'!$A$1:$AA$533,312,1)</f>
        <v>76</v>
      </c>
      <c r="K160" s="69">
        <f>HLOOKUP($B$2,'WARD DATA'!$A$1:$AA$533,313,1)</f>
        <v>28</v>
      </c>
      <c r="L160" s="61"/>
    </row>
    <row r="161" spans="1:12" hidden="1" x14ac:dyDescent="0.2">
      <c r="A161" s="29"/>
      <c r="B161" s="92" t="s">
        <v>178</v>
      </c>
      <c r="C161" s="70"/>
      <c r="D161" s="71">
        <f>'WARD DATA'!D314</f>
        <v>584483</v>
      </c>
      <c r="E161" s="97">
        <f>'WARD DATA'!D315</f>
        <v>37.4</v>
      </c>
      <c r="F161" s="71">
        <f>'WARD DATA'!E314</f>
        <v>57366</v>
      </c>
      <c r="G161" s="101">
        <f>'WARD DATA'!E315</f>
        <v>36.299999999999997</v>
      </c>
      <c r="H161" s="72">
        <f>'WARD DATA'!F314</f>
        <v>3016</v>
      </c>
      <c r="I161" s="97">
        <f>'WARD DATA'!F315</f>
        <v>38.299999999999997</v>
      </c>
      <c r="J161" s="76">
        <f>HLOOKUP($B$2,'WARD DATA'!$A$1:$AA$533,314,1)</f>
        <v>50</v>
      </c>
      <c r="K161" s="73">
        <f>HLOOKUP($B$2,'WARD DATA'!$A$1:$AA$533,315,1)</f>
        <v>18.5</v>
      </c>
      <c r="L161" s="61"/>
    </row>
    <row r="162" spans="1:12" hidden="1" x14ac:dyDescent="0.2">
      <c r="A162" s="104"/>
      <c r="B162" s="91"/>
      <c r="D162" s="47"/>
      <c r="E162" s="96"/>
      <c r="F162" s="47"/>
      <c r="G162" s="100"/>
      <c r="H162" s="20"/>
      <c r="I162" s="96"/>
      <c r="J162" s="53"/>
      <c r="K162" s="69"/>
      <c r="L162" s="61"/>
    </row>
    <row r="163" spans="1:12" hidden="1" x14ac:dyDescent="0.2">
      <c r="A163" s="27" t="s">
        <v>275</v>
      </c>
      <c r="B163" s="93" t="s">
        <v>263</v>
      </c>
      <c r="C163" s="62"/>
      <c r="D163" s="63">
        <f>'WARD DATA'!D316</f>
        <v>22063368</v>
      </c>
      <c r="E163" s="95">
        <f>'WARD DATA'!D317</f>
        <v>100</v>
      </c>
      <c r="F163" s="63">
        <f>'WARD DATA'!E316</f>
        <v>2224059</v>
      </c>
      <c r="G163" s="99">
        <f>'WARD DATA'!E317</f>
        <v>100</v>
      </c>
      <c r="H163" s="64">
        <f>'WARD DATA'!F316</f>
        <v>100734</v>
      </c>
      <c r="I163" s="95">
        <f>'WARD DATA'!F317</f>
        <v>100</v>
      </c>
      <c r="J163" s="74">
        <f>HLOOKUP($B$2,'WARD DATA'!$A$1:$AA$533,316,1)</f>
        <v>4878</v>
      </c>
      <c r="K163" s="65">
        <f>HLOOKUP($B$2,'WARD DATA'!$A$1:$AA$533,317,1)</f>
        <v>100</v>
      </c>
      <c r="L163" s="61"/>
    </row>
    <row r="164" spans="1:12" hidden="1" x14ac:dyDescent="0.2">
      <c r="A164" s="28"/>
      <c r="B164" s="91" t="s">
        <v>264</v>
      </c>
      <c r="C164" s="66"/>
      <c r="D164" s="67">
        <f>'WARD DATA'!D318</f>
        <v>13975024</v>
      </c>
      <c r="E164" s="96">
        <f>'WARD DATA'!D319</f>
        <v>63.3</v>
      </c>
      <c r="F164" s="67">
        <f>'WARD DATA'!E318</f>
        <v>1425563</v>
      </c>
      <c r="G164" s="100">
        <f>'WARD DATA'!E319</f>
        <v>64.099999999999994</v>
      </c>
      <c r="H164" s="68">
        <f>'WARD DATA'!F318</f>
        <v>64807</v>
      </c>
      <c r="I164" s="96">
        <f>'WARD DATA'!F319</f>
        <v>64.3</v>
      </c>
      <c r="J164" s="75">
        <f>HLOOKUP($B$2,'WARD DATA'!$A$1:$AA$533,318,1)</f>
        <v>3707</v>
      </c>
      <c r="K164" s="69">
        <f>HLOOKUP($B$2,'WARD DATA'!$A$1:$AA$533,319,1)</f>
        <v>76</v>
      </c>
      <c r="L164" s="61"/>
    </row>
    <row r="165" spans="1:12" hidden="1" x14ac:dyDescent="0.2">
      <c r="A165" s="28"/>
      <c r="B165" s="91" t="s">
        <v>265</v>
      </c>
      <c r="C165" s="66"/>
      <c r="D165" s="67">
        <f>'WARD DATA'!D320</f>
        <v>6745584</v>
      </c>
      <c r="E165" s="96">
        <f>'WARD DATA'!D321</f>
        <v>30.6</v>
      </c>
      <c r="F165" s="67">
        <f>'WARD DATA'!E320</f>
        <v>681492</v>
      </c>
      <c r="G165" s="100">
        <f>'WARD DATA'!E321</f>
        <v>30.6</v>
      </c>
      <c r="H165" s="68">
        <f>'WARD DATA'!F320</f>
        <v>30778</v>
      </c>
      <c r="I165" s="96">
        <f>'WARD DATA'!F321</f>
        <v>30.6</v>
      </c>
      <c r="J165" s="75">
        <f>HLOOKUP($B$2,'WARD DATA'!$A$1:$AA$533,320,1)</f>
        <v>1755</v>
      </c>
      <c r="K165" s="69">
        <f>HLOOKUP($B$2,'WARD DATA'!$A$1:$AA$533,321,1)</f>
        <v>36</v>
      </c>
      <c r="L165" s="61"/>
    </row>
    <row r="166" spans="1:12" hidden="1" x14ac:dyDescent="0.2">
      <c r="A166" s="28"/>
      <c r="B166" s="91" t="s">
        <v>266</v>
      </c>
      <c r="C166" s="66"/>
      <c r="D166" s="67">
        <f>'WARD DATA'!D322</f>
        <v>7229440</v>
      </c>
      <c r="E166" s="96">
        <f>'WARD DATA'!D323</f>
        <v>32.799999999999997</v>
      </c>
      <c r="F166" s="67">
        <f>'WARD DATA'!E322</f>
        <v>744071</v>
      </c>
      <c r="G166" s="100">
        <f>'WARD DATA'!E323</f>
        <v>33.5</v>
      </c>
      <c r="H166" s="68">
        <f>'WARD DATA'!F322</f>
        <v>34029</v>
      </c>
      <c r="I166" s="96">
        <f>'WARD DATA'!F323</f>
        <v>33.799999999999997</v>
      </c>
      <c r="J166" s="75">
        <f>HLOOKUP($B$2,'WARD DATA'!$A$1:$AA$533,322,1)</f>
        <v>1952</v>
      </c>
      <c r="K166" s="69">
        <f>HLOOKUP($B$2,'WARD DATA'!$A$1:$AA$533,323,1)</f>
        <v>40</v>
      </c>
      <c r="L166" s="61"/>
    </row>
    <row r="167" spans="1:12" hidden="1" x14ac:dyDescent="0.2">
      <c r="A167" s="28"/>
      <c r="B167" s="91" t="s">
        <v>267</v>
      </c>
      <c r="C167" s="66"/>
      <c r="D167" s="67">
        <f>'WARD DATA'!D324</f>
        <v>173760</v>
      </c>
      <c r="E167" s="96">
        <f>'WARD DATA'!D325</f>
        <v>0.8</v>
      </c>
      <c r="F167" s="67">
        <f>'WARD DATA'!E324</f>
        <v>9637</v>
      </c>
      <c r="G167" s="100">
        <f>'WARD DATA'!E325</f>
        <v>0.4</v>
      </c>
      <c r="H167" s="68">
        <f>'WARD DATA'!F324</f>
        <v>445</v>
      </c>
      <c r="I167" s="96">
        <f>'WARD DATA'!F325</f>
        <v>0.4</v>
      </c>
      <c r="J167" s="75">
        <f>HLOOKUP($B$2,'WARD DATA'!$A$1:$AA$533,324,1)</f>
        <v>32</v>
      </c>
      <c r="K167" s="69">
        <f>HLOOKUP($B$2,'WARD DATA'!$A$1:$AA$533,325,1)</f>
        <v>0.7</v>
      </c>
      <c r="L167" s="61"/>
    </row>
    <row r="168" spans="1:12" hidden="1" x14ac:dyDescent="0.2">
      <c r="A168" s="28"/>
      <c r="B168" s="91" t="s">
        <v>268</v>
      </c>
      <c r="C168" s="66"/>
      <c r="D168" s="67">
        <f>'WARD DATA'!D326</f>
        <v>3903550</v>
      </c>
      <c r="E168" s="96">
        <f>'WARD DATA'!D327</f>
        <v>17.7</v>
      </c>
      <c r="F168" s="67">
        <f>'WARD DATA'!E326</f>
        <v>402653</v>
      </c>
      <c r="G168" s="100">
        <f>'WARD DATA'!E327</f>
        <v>18.100000000000001</v>
      </c>
      <c r="H168" s="68">
        <f>'WARD DATA'!F326</f>
        <v>21032</v>
      </c>
      <c r="I168" s="96">
        <f>'WARD DATA'!F327</f>
        <v>20.9</v>
      </c>
      <c r="J168" s="75">
        <f>HLOOKUP($B$2,'WARD DATA'!$A$1:$AA$533,326,1)</f>
        <v>650</v>
      </c>
      <c r="K168" s="69">
        <f>HLOOKUP($B$2,'WARD DATA'!$A$1:$AA$533,327,1)</f>
        <v>13.3</v>
      </c>
      <c r="L168" s="61"/>
    </row>
    <row r="169" spans="1:12" hidden="1" x14ac:dyDescent="0.2">
      <c r="A169" s="28"/>
      <c r="B169" s="91" t="s">
        <v>269</v>
      </c>
      <c r="C169" s="66"/>
      <c r="D169" s="67">
        <f>'WARD DATA'!D328</f>
        <v>2079778</v>
      </c>
      <c r="E169" s="96">
        <f>'WARD DATA'!D329</f>
        <v>9.4</v>
      </c>
      <c r="F169" s="67">
        <f>'WARD DATA'!E328</f>
        <v>272875</v>
      </c>
      <c r="G169" s="100">
        <f>'WARD DATA'!E329</f>
        <v>12.3</v>
      </c>
      <c r="H169" s="68">
        <f>'WARD DATA'!F328</f>
        <v>17831</v>
      </c>
      <c r="I169" s="96">
        <f>'WARD DATA'!F329</f>
        <v>17.7</v>
      </c>
      <c r="J169" s="75">
        <f>HLOOKUP($B$2,'WARD DATA'!$A$1:$AA$533,328,1)</f>
        <v>486</v>
      </c>
      <c r="K169" s="69">
        <f>HLOOKUP($B$2,'WARD DATA'!$A$1:$AA$533,329,1)</f>
        <v>10</v>
      </c>
      <c r="L169" s="61"/>
    </row>
    <row r="170" spans="1:12" hidden="1" x14ac:dyDescent="0.2">
      <c r="A170" s="28"/>
      <c r="B170" s="91" t="s">
        <v>270</v>
      </c>
      <c r="C170" s="66"/>
      <c r="D170" s="67">
        <f>'WARD DATA'!D330</f>
        <v>1823772</v>
      </c>
      <c r="E170" s="96">
        <f>'WARD DATA'!D331</f>
        <v>8.3000000000000007</v>
      </c>
      <c r="F170" s="67">
        <f>'WARD DATA'!E330</f>
        <v>129778</v>
      </c>
      <c r="G170" s="100">
        <f>'WARD DATA'!E331</f>
        <v>5.8</v>
      </c>
      <c r="H170" s="68">
        <f>'WARD DATA'!F330</f>
        <v>3201</v>
      </c>
      <c r="I170" s="96">
        <f>'WARD DATA'!F331</f>
        <v>3.2</v>
      </c>
      <c r="J170" s="75">
        <f>HLOOKUP($B$2,'WARD DATA'!$A$1:$AA$533,330,1)</f>
        <v>164</v>
      </c>
      <c r="K170" s="69">
        <f>HLOOKUP($B$2,'WARD DATA'!$A$1:$AA$533,331,1)</f>
        <v>3.4</v>
      </c>
      <c r="L170" s="61"/>
    </row>
    <row r="171" spans="1:12" hidden="1" x14ac:dyDescent="0.2">
      <c r="A171" s="28"/>
      <c r="B171" s="91" t="s">
        <v>271</v>
      </c>
      <c r="C171" s="66"/>
      <c r="D171" s="67">
        <f>'WARD DATA'!D332</f>
        <v>3715924</v>
      </c>
      <c r="E171" s="96">
        <f>'WARD DATA'!D333</f>
        <v>16.8</v>
      </c>
      <c r="F171" s="67">
        <f>'WARD DATA'!E332</f>
        <v>353448</v>
      </c>
      <c r="G171" s="100">
        <f>'WARD DATA'!E333</f>
        <v>15.9</v>
      </c>
      <c r="H171" s="68">
        <f>'WARD DATA'!F332</f>
        <v>12856</v>
      </c>
      <c r="I171" s="96">
        <f>'WARD DATA'!F333</f>
        <v>12.8</v>
      </c>
      <c r="J171" s="75">
        <f>HLOOKUP($B$2,'WARD DATA'!$A$1:$AA$533,332,1)</f>
        <v>434</v>
      </c>
      <c r="K171" s="69">
        <f>HLOOKUP($B$2,'WARD DATA'!$A$1:$AA$533,333,1)</f>
        <v>8.9</v>
      </c>
      <c r="L171" s="61"/>
    </row>
    <row r="172" spans="1:12" hidden="1" x14ac:dyDescent="0.2">
      <c r="A172" s="28"/>
      <c r="B172" s="91" t="s">
        <v>272</v>
      </c>
      <c r="C172" s="66"/>
      <c r="D172" s="67">
        <f>'WARD DATA'!D334</f>
        <v>3401675</v>
      </c>
      <c r="E172" s="96">
        <f>'WARD DATA'!D335</f>
        <v>15.4</v>
      </c>
      <c r="F172" s="67">
        <f>'WARD DATA'!E334</f>
        <v>321142</v>
      </c>
      <c r="G172" s="100">
        <f>'WARD DATA'!E335</f>
        <v>14.4</v>
      </c>
      <c r="H172" s="68">
        <f>'WARD DATA'!F334</f>
        <v>11812</v>
      </c>
      <c r="I172" s="96">
        <f>'WARD DATA'!F335</f>
        <v>11.7</v>
      </c>
      <c r="J172" s="75">
        <f>HLOOKUP($B$2,'WARD DATA'!$A$1:$AA$533,334,1)</f>
        <v>388</v>
      </c>
      <c r="K172" s="69">
        <f>HLOOKUP($B$2,'WARD DATA'!$A$1:$AA$533,335,1)</f>
        <v>8</v>
      </c>
      <c r="L172" s="61"/>
    </row>
    <row r="173" spans="1:12" hidden="1" x14ac:dyDescent="0.2">
      <c r="A173" s="28"/>
      <c r="B173" s="91" t="s">
        <v>273</v>
      </c>
      <c r="C173" s="66"/>
      <c r="D173" s="67">
        <f>'WARD DATA'!D336</f>
        <v>314249</v>
      </c>
      <c r="E173" s="96">
        <f>'WARD DATA'!D337</f>
        <v>1.4</v>
      </c>
      <c r="F173" s="67">
        <f>'WARD DATA'!E336</f>
        <v>32306</v>
      </c>
      <c r="G173" s="100">
        <f>'WARD DATA'!E337</f>
        <v>1.5</v>
      </c>
      <c r="H173" s="68">
        <f>'WARD DATA'!F336</f>
        <v>1044</v>
      </c>
      <c r="I173" s="96">
        <f>'WARD DATA'!F337</f>
        <v>1</v>
      </c>
      <c r="J173" s="75">
        <f>HLOOKUP($B$2,'WARD DATA'!$A$1:$AA$533,336,1)</f>
        <v>46</v>
      </c>
      <c r="K173" s="69">
        <f>HLOOKUP($B$2,'WARD DATA'!$A$1:$AA$533,337,1)</f>
        <v>0.9</v>
      </c>
      <c r="L173" s="61"/>
    </row>
    <row r="174" spans="1:12" hidden="1" x14ac:dyDescent="0.2">
      <c r="A174" s="29"/>
      <c r="B174" s="92" t="s">
        <v>274</v>
      </c>
      <c r="C174" s="70"/>
      <c r="D174" s="71">
        <f>'WARD DATA'!D338</f>
        <v>295110</v>
      </c>
      <c r="E174" s="97">
        <f>'WARD DATA'!D339</f>
        <v>1.3</v>
      </c>
      <c r="F174" s="71">
        <f>'WARD DATA'!E338</f>
        <v>32758</v>
      </c>
      <c r="G174" s="101">
        <f>'WARD DATA'!E339</f>
        <v>1.5</v>
      </c>
      <c r="H174" s="72">
        <f>'WARD DATA'!F338</f>
        <v>1594</v>
      </c>
      <c r="I174" s="97">
        <f>'WARD DATA'!F339</f>
        <v>1.6</v>
      </c>
      <c r="J174" s="76">
        <f>HLOOKUP($B$2,'WARD DATA'!$A$1:$AA$533,338,1)</f>
        <v>55</v>
      </c>
      <c r="K174" s="73">
        <f>HLOOKUP($B$2,'WARD DATA'!$A$1:$AA$533,339,1)</f>
        <v>1.1000000000000001</v>
      </c>
      <c r="L174" s="61"/>
    </row>
    <row r="175" spans="1:12" hidden="1" x14ac:dyDescent="0.2">
      <c r="A175" s="104"/>
      <c r="B175" s="91"/>
      <c r="D175" s="47"/>
      <c r="E175" s="96"/>
      <c r="F175" s="47"/>
      <c r="G175" s="100"/>
      <c r="H175" s="20"/>
      <c r="I175" s="96"/>
      <c r="J175" s="53"/>
      <c r="K175" s="69"/>
      <c r="L175" s="61"/>
    </row>
    <row r="176" spans="1:12" hidden="1" x14ac:dyDescent="0.2">
      <c r="A176" s="27" t="s">
        <v>364</v>
      </c>
      <c r="B176" s="93" t="s">
        <v>254</v>
      </c>
      <c r="C176" s="62"/>
      <c r="D176" s="63">
        <f>'WARD DATA'!D340</f>
        <v>22063368</v>
      </c>
      <c r="E176" s="95">
        <f>'WARD DATA'!D341</f>
        <v>100</v>
      </c>
      <c r="F176" s="63">
        <f>'WARD DATA'!E340</f>
        <v>2224059</v>
      </c>
      <c r="G176" s="99">
        <f>'WARD DATA'!E341</f>
        <v>100</v>
      </c>
      <c r="H176" s="64">
        <f>'WARD DATA'!F340</f>
        <v>100734</v>
      </c>
      <c r="I176" s="95">
        <f>'WARD DATA'!F341</f>
        <v>100</v>
      </c>
      <c r="J176" s="74">
        <f>HLOOKUP($B$2,'WARD DATA'!$A$1:$AA$533,340,1)</f>
        <v>4878</v>
      </c>
      <c r="K176" s="65">
        <f>HLOOKUP($B$2,'WARD DATA'!$A$1:$AA$533,341,1)</f>
        <v>100</v>
      </c>
      <c r="L176" s="61"/>
    </row>
    <row r="177" spans="1:12" ht="25.5" hidden="1" x14ac:dyDescent="0.2">
      <c r="A177" s="28" t="s">
        <v>365</v>
      </c>
      <c r="B177" s="91" t="s">
        <v>255</v>
      </c>
      <c r="C177" s="66"/>
      <c r="D177" s="67">
        <f>'WARD DATA'!D342</f>
        <v>594561</v>
      </c>
      <c r="E177" s="96">
        <f>'WARD DATA'!D343</f>
        <v>2.7</v>
      </c>
      <c r="F177" s="67">
        <f>'WARD DATA'!E342</f>
        <v>74100</v>
      </c>
      <c r="G177" s="100">
        <f>'WARD DATA'!E343</f>
        <v>3.3</v>
      </c>
      <c r="H177" s="68">
        <f>'WARD DATA'!F342</f>
        <v>932</v>
      </c>
      <c r="I177" s="96">
        <f>'WARD DATA'!F343</f>
        <v>0.9</v>
      </c>
      <c r="J177" s="75">
        <f>HLOOKUP($B$2,'WARD DATA'!$A$1:$AA$533,342,1)</f>
        <v>63</v>
      </c>
      <c r="K177" s="69">
        <f>HLOOKUP($B$2,'WARD DATA'!$A$1:$AA$533,343,1)</f>
        <v>1.3</v>
      </c>
      <c r="L177" s="61"/>
    </row>
    <row r="178" spans="1:12" hidden="1" x14ac:dyDescent="0.2">
      <c r="A178" s="28"/>
      <c r="B178" s="91" t="s">
        <v>256</v>
      </c>
      <c r="C178" s="66"/>
      <c r="D178" s="67">
        <f>'WARD DATA'!D344</f>
        <v>21468807</v>
      </c>
      <c r="E178" s="96">
        <f>'WARD DATA'!D345</f>
        <v>97.3</v>
      </c>
      <c r="F178" s="67">
        <f>'WARD DATA'!E344</f>
        <v>2149959</v>
      </c>
      <c r="G178" s="100">
        <f>'WARD DATA'!E345</f>
        <v>96.7</v>
      </c>
      <c r="H178" s="68">
        <f>'WARD DATA'!F344</f>
        <v>99802</v>
      </c>
      <c r="I178" s="96">
        <f>'WARD DATA'!F345</f>
        <v>99.1</v>
      </c>
      <c r="J178" s="75">
        <f>HLOOKUP($B$2,'WARD DATA'!$A$1:$AA$533,344,1)</f>
        <v>4815</v>
      </c>
      <c r="K178" s="69">
        <f>HLOOKUP($B$2,'WARD DATA'!$A$1:$AA$533,345,1)</f>
        <v>98.7</v>
      </c>
      <c r="L178" s="61"/>
    </row>
    <row r="179" spans="1:12" hidden="1" x14ac:dyDescent="0.2">
      <c r="A179" s="28"/>
      <c r="B179" s="91" t="s">
        <v>257</v>
      </c>
      <c r="C179" s="66"/>
      <c r="D179" s="67">
        <f>'WARD DATA'!D346</f>
        <v>1928596</v>
      </c>
      <c r="E179" s="96">
        <f>'WARD DATA'!D347</f>
        <v>8.6999999999999993</v>
      </c>
      <c r="F179" s="67">
        <f>'WARD DATA'!E346</f>
        <v>147894</v>
      </c>
      <c r="G179" s="100">
        <f>'WARD DATA'!E347</f>
        <v>6.6</v>
      </c>
      <c r="H179" s="68">
        <f>'WARD DATA'!F346</f>
        <v>4320</v>
      </c>
      <c r="I179" s="96">
        <f>'WARD DATA'!F347</f>
        <v>4.3</v>
      </c>
      <c r="J179" s="75">
        <f>HLOOKUP($B$2,'WARD DATA'!$A$1:$AA$533,346,1)</f>
        <v>120</v>
      </c>
      <c r="K179" s="69">
        <f>HLOOKUP($B$2,'WARD DATA'!$A$1:$AA$533,347,1)</f>
        <v>2.5</v>
      </c>
      <c r="L179" s="61"/>
    </row>
    <row r="180" spans="1:12" hidden="1" x14ac:dyDescent="0.2">
      <c r="A180" s="28"/>
      <c r="B180" s="91" t="s">
        <v>258</v>
      </c>
      <c r="C180" s="66"/>
      <c r="D180" s="67">
        <f>'WARD DATA'!D348</f>
        <v>1060967</v>
      </c>
      <c r="E180" s="96">
        <f>'WARD DATA'!D349</f>
        <v>4.8</v>
      </c>
      <c r="F180" s="67">
        <f>'WARD DATA'!E348</f>
        <v>82156</v>
      </c>
      <c r="G180" s="100">
        <f>'WARD DATA'!E349</f>
        <v>3.7</v>
      </c>
      <c r="H180" s="68">
        <f>'WARD DATA'!F348</f>
        <v>2487</v>
      </c>
      <c r="I180" s="96">
        <f>'WARD DATA'!F349</f>
        <v>2.5</v>
      </c>
      <c r="J180" s="77">
        <f>HLOOKUP($B$2,'WARD DATA'!$A$1:$AA$533,348,1)</f>
        <v>67</v>
      </c>
      <c r="K180" s="69">
        <f>HLOOKUP($B$2,'WARD DATA'!$A$1:$AA$533,349,1)</f>
        <v>1.4</v>
      </c>
      <c r="L180" s="61"/>
    </row>
    <row r="181" spans="1:12" hidden="1" x14ac:dyDescent="0.2">
      <c r="A181" s="28"/>
      <c r="B181" s="91" t="s">
        <v>259</v>
      </c>
      <c r="C181" s="66"/>
      <c r="D181" s="105">
        <f>'WARD DATA'!D350</f>
        <v>2.4</v>
      </c>
      <c r="E181" s="96"/>
      <c r="F181" s="105">
        <f>'WARD DATA'!E350</f>
        <v>2.2999999999999998</v>
      </c>
      <c r="G181" s="100"/>
      <c r="H181" s="107">
        <f>'WARD DATA'!F350</f>
        <v>2.2999999999999998</v>
      </c>
      <c r="I181" s="96"/>
      <c r="J181" s="77">
        <f>HLOOKUP($B$2,'WARD DATA'!$A$1:$AA$533,350,1)</f>
        <v>2.2999999999999998</v>
      </c>
      <c r="K181" s="69" t="s">
        <v>348</v>
      </c>
      <c r="L181" s="61"/>
    </row>
    <row r="182" spans="1:12" hidden="1" x14ac:dyDescent="0.2">
      <c r="A182" s="28"/>
      <c r="B182" s="91" t="s">
        <v>260</v>
      </c>
      <c r="C182" s="66"/>
      <c r="D182" s="105">
        <f>'WARD DATA'!D352</f>
        <v>5.4</v>
      </c>
      <c r="E182" s="96"/>
      <c r="F182" s="105">
        <f>'WARD DATA'!E352</f>
        <v>5.4</v>
      </c>
      <c r="G182" s="100"/>
      <c r="H182" s="107">
        <f>'WARD DATA'!F352</f>
        <v>5.3</v>
      </c>
      <c r="I182" s="96"/>
      <c r="J182" s="77">
        <f>HLOOKUP($B$2,'WARD DATA'!$A$1:$AA$533,352,1)</f>
        <v>5.7</v>
      </c>
      <c r="K182" s="69" t="s">
        <v>348</v>
      </c>
      <c r="L182" s="61"/>
    </row>
    <row r="183" spans="1:12" hidden="1" x14ac:dyDescent="0.2">
      <c r="A183" s="29"/>
      <c r="B183" s="92" t="s">
        <v>261</v>
      </c>
      <c r="C183" s="70"/>
      <c r="D183" s="106">
        <f>'WARD DATA'!D354</f>
        <v>2.7</v>
      </c>
      <c r="E183" s="97"/>
      <c r="F183" s="106">
        <f>'WARD DATA'!E354</f>
        <v>2.7</v>
      </c>
      <c r="G183" s="101"/>
      <c r="H183" s="108">
        <f>'WARD DATA'!F354</f>
        <v>2.7</v>
      </c>
      <c r="I183" s="97"/>
      <c r="J183" s="76">
        <f>HLOOKUP($B$2,'WARD DATA'!$A$1:$AA$533,354,1)</f>
        <v>2.9</v>
      </c>
      <c r="K183" s="73" t="s">
        <v>348</v>
      </c>
      <c r="L183" s="61"/>
    </row>
    <row r="184" spans="1:12" hidden="1" x14ac:dyDescent="0.2">
      <c r="A184" s="104"/>
      <c r="B184" s="91"/>
      <c r="D184" s="47"/>
      <c r="E184" s="96"/>
      <c r="F184" s="47"/>
      <c r="G184" s="100"/>
      <c r="H184" s="20"/>
      <c r="I184" s="96"/>
      <c r="K184" s="69"/>
      <c r="L184" s="61"/>
    </row>
    <row r="185" spans="1:12" hidden="1" x14ac:dyDescent="0.2">
      <c r="A185" s="27" t="s">
        <v>83</v>
      </c>
      <c r="B185" s="93" t="s">
        <v>69</v>
      </c>
      <c r="C185" s="62"/>
      <c r="D185" s="63">
        <f>'WARD DATA'!D356</f>
        <v>22976066</v>
      </c>
      <c r="E185" s="95">
        <f>'WARD DATA'!D357</f>
        <v>100</v>
      </c>
      <c r="F185" s="63">
        <f>'WARD DATA'!E356</f>
        <v>2319910</v>
      </c>
      <c r="G185" s="99">
        <f>'WARD DATA'!E357</f>
        <v>100</v>
      </c>
      <c r="H185" s="64">
        <f>'WARD DATA'!F356</f>
        <v>104975</v>
      </c>
      <c r="I185" s="95">
        <f>'WARD DATA'!F357</f>
        <v>100</v>
      </c>
      <c r="J185" s="74">
        <f>HLOOKUP($B$2,'WARD DATA'!$A$1:$AA$533,356,1)</f>
        <v>5061</v>
      </c>
      <c r="K185" s="65">
        <f>HLOOKUP($B$2,'WARD DATA'!$A$1:$AA$533,357,1)</f>
        <v>100</v>
      </c>
      <c r="L185" s="61"/>
    </row>
    <row r="186" spans="1:12" hidden="1" x14ac:dyDescent="0.2">
      <c r="A186" s="28"/>
      <c r="B186" s="91" t="s">
        <v>70</v>
      </c>
      <c r="C186" s="66"/>
      <c r="D186" s="67">
        <f>'WARD DATA'!D358</f>
        <v>22955448</v>
      </c>
      <c r="E186" s="96">
        <f>'WARD DATA'!D359</f>
        <v>99.9</v>
      </c>
      <c r="F186" s="67">
        <f>'WARD DATA'!E358</f>
        <v>2318516</v>
      </c>
      <c r="G186" s="100">
        <f>'WARD DATA'!E359</f>
        <v>99.9</v>
      </c>
      <c r="H186" s="68">
        <f>'WARD DATA'!F358</f>
        <v>104926</v>
      </c>
      <c r="I186" s="96">
        <f>'WARD DATA'!F359</f>
        <v>100</v>
      </c>
      <c r="J186" s="75">
        <f>HLOOKUP($B$2,'WARD DATA'!$A$1:$AA$533,358,1)</f>
        <v>5060</v>
      </c>
      <c r="K186" s="69">
        <f>HLOOKUP($B$2,'WARD DATA'!$A$1:$AA$533,359,1)</f>
        <v>100</v>
      </c>
      <c r="L186" s="61"/>
    </row>
    <row r="187" spans="1:12" hidden="1" x14ac:dyDescent="0.2">
      <c r="A187" s="28"/>
      <c r="B187" s="91" t="s">
        <v>71</v>
      </c>
      <c r="C187" s="66"/>
      <c r="D187" s="67">
        <f>'WARD DATA'!D360</f>
        <v>6700</v>
      </c>
      <c r="E187" s="96">
        <f>'WARD DATA'!D361</f>
        <v>0</v>
      </c>
      <c r="F187" s="67">
        <f>'WARD DATA'!E360</f>
        <v>410</v>
      </c>
      <c r="G187" s="100">
        <f>'WARD DATA'!E361</f>
        <v>0</v>
      </c>
      <c r="H187" s="68">
        <f>'WARD DATA'!F360</f>
        <v>11</v>
      </c>
      <c r="I187" s="96">
        <f>'WARD DATA'!F361</f>
        <v>0</v>
      </c>
      <c r="J187" s="75">
        <f>HLOOKUP($B$2,'WARD DATA'!$A$1:$AA$533,360,1)</f>
        <v>0</v>
      </c>
      <c r="K187" s="69">
        <f>HLOOKUP($B$2,'WARD DATA'!$A$1:$AA$533,361,1)</f>
        <v>0</v>
      </c>
      <c r="L187" s="61"/>
    </row>
    <row r="188" spans="1:12" hidden="1" x14ac:dyDescent="0.2">
      <c r="A188" s="28"/>
      <c r="B188" s="91" t="s">
        <v>72</v>
      </c>
      <c r="C188" s="66"/>
      <c r="D188" s="67">
        <f>'WARD DATA'!D362</f>
        <v>13918</v>
      </c>
      <c r="E188" s="96">
        <f>'WARD DATA'!D363</f>
        <v>0.1</v>
      </c>
      <c r="F188" s="67">
        <f>'WARD DATA'!E362</f>
        <v>984</v>
      </c>
      <c r="G188" s="100">
        <f>'WARD DATA'!E363</f>
        <v>0</v>
      </c>
      <c r="H188" s="68">
        <f>'WARD DATA'!F362</f>
        <v>38</v>
      </c>
      <c r="I188" s="96">
        <f>'WARD DATA'!F363</f>
        <v>0</v>
      </c>
      <c r="J188" s="75">
        <f>HLOOKUP($B$2,'WARD DATA'!$A$1:$AA$533,362,1)</f>
        <v>1</v>
      </c>
      <c r="K188" s="69">
        <f>HLOOKUP($B$2,'WARD DATA'!$A$1:$AA$533,363,1)</f>
        <v>0</v>
      </c>
      <c r="L188" s="61"/>
    </row>
    <row r="189" spans="1:12" hidden="1" x14ac:dyDescent="0.2">
      <c r="A189" s="28"/>
      <c r="B189" s="91" t="s">
        <v>73</v>
      </c>
      <c r="C189" s="66"/>
      <c r="D189" s="67">
        <f>'WARD DATA'!D364</f>
        <v>23044097</v>
      </c>
      <c r="E189" s="96">
        <f>'WARD DATA'!D365</f>
        <v>100</v>
      </c>
      <c r="F189" s="67">
        <f>'WARD DATA'!E364</f>
        <v>2324385</v>
      </c>
      <c r="G189" s="100">
        <f>'WARD DATA'!E365</f>
        <v>100</v>
      </c>
      <c r="H189" s="68">
        <f>'WARD DATA'!F364</f>
        <v>105123</v>
      </c>
      <c r="I189" s="96">
        <f>'WARD DATA'!F365</f>
        <v>100</v>
      </c>
      <c r="J189" s="75">
        <f>HLOOKUP($B$2,'WARD DATA'!$A$1:$AA$533,364,1)</f>
        <v>5063</v>
      </c>
      <c r="K189" s="69">
        <f>HLOOKUP($B$2,'WARD DATA'!$A$1:$AA$533,365,1)</f>
        <v>100</v>
      </c>
      <c r="L189" s="61"/>
    </row>
    <row r="190" spans="1:12" hidden="1" x14ac:dyDescent="0.2">
      <c r="A190" s="28"/>
      <c r="B190" s="91" t="s">
        <v>74</v>
      </c>
      <c r="C190" s="66"/>
      <c r="D190" s="67">
        <f>'WARD DATA'!D366</f>
        <v>22063368</v>
      </c>
      <c r="E190" s="96">
        <f>'WARD DATA'!D367</f>
        <v>95.7</v>
      </c>
      <c r="F190" s="67">
        <f>'WARD DATA'!E366</f>
        <v>2224059</v>
      </c>
      <c r="G190" s="100">
        <f>'WARD DATA'!E367</f>
        <v>95.7</v>
      </c>
      <c r="H190" s="68">
        <f>'WARD DATA'!F366</f>
        <v>100734</v>
      </c>
      <c r="I190" s="96">
        <f>'WARD DATA'!F367</f>
        <v>95.8</v>
      </c>
      <c r="J190" s="75">
        <f>HLOOKUP($B$2,'WARD DATA'!$A$1:$AA$533,366,1)</f>
        <v>4878</v>
      </c>
      <c r="K190" s="69">
        <f>HLOOKUP($B$2,'WARD DATA'!$A$1:$AA$533,367,1)</f>
        <v>96.3</v>
      </c>
      <c r="L190" s="61"/>
    </row>
    <row r="191" spans="1:12" hidden="1" x14ac:dyDescent="0.2">
      <c r="A191" s="28"/>
      <c r="B191" s="91" t="s">
        <v>75</v>
      </c>
      <c r="C191" s="66"/>
      <c r="D191" s="67">
        <f>'WARD DATA'!D368</f>
        <v>980729</v>
      </c>
      <c r="E191" s="96">
        <f>'WARD DATA'!D369</f>
        <v>4.3</v>
      </c>
      <c r="F191" s="67">
        <f>'WARD DATA'!E368</f>
        <v>100326</v>
      </c>
      <c r="G191" s="100">
        <f>'WARD DATA'!E369</f>
        <v>4.3</v>
      </c>
      <c r="H191" s="68">
        <f>'WARD DATA'!F368</f>
        <v>4389</v>
      </c>
      <c r="I191" s="96">
        <f>'WARD DATA'!F369</f>
        <v>4.2</v>
      </c>
      <c r="J191" s="75">
        <f>HLOOKUP($B$2,'WARD DATA'!$A$1:$AA$533,368,1)</f>
        <v>185</v>
      </c>
      <c r="K191" s="69">
        <f>HLOOKUP($B$2,'WARD DATA'!$A$1:$AA$533,369,1)</f>
        <v>3.7</v>
      </c>
      <c r="L191" s="61"/>
    </row>
    <row r="192" spans="1:12" hidden="1" x14ac:dyDescent="0.2">
      <c r="A192" s="28"/>
      <c r="B192" s="91" t="s">
        <v>76</v>
      </c>
      <c r="C192" s="66"/>
      <c r="D192" s="67">
        <f>'WARD DATA'!D370</f>
        <v>5128552</v>
      </c>
      <c r="E192" s="96">
        <f>'WARD DATA'!D371</f>
        <v>22.3</v>
      </c>
      <c r="F192" s="67">
        <f>'WARD DATA'!E370</f>
        <v>477309</v>
      </c>
      <c r="G192" s="100">
        <f>'WARD DATA'!E371</f>
        <v>20.5</v>
      </c>
      <c r="H192" s="68">
        <f>'WARD DATA'!F370</f>
        <v>23187</v>
      </c>
      <c r="I192" s="96">
        <f>'WARD DATA'!F371</f>
        <v>22.1</v>
      </c>
      <c r="J192" s="75">
        <f>HLOOKUP($B$2,'WARD DATA'!$A$1:$AA$533,370,1)</f>
        <v>1674</v>
      </c>
      <c r="K192" s="69">
        <f>HLOOKUP($B$2,'WARD DATA'!$A$1:$AA$533,371,1)</f>
        <v>33.1</v>
      </c>
      <c r="L192" s="61"/>
    </row>
    <row r="193" spans="1:12" hidden="1" x14ac:dyDescent="0.2">
      <c r="A193" s="28"/>
      <c r="B193" s="91" t="s">
        <v>77</v>
      </c>
      <c r="C193" s="66"/>
      <c r="D193" s="67">
        <f>'WARD DATA'!D372</f>
        <v>7076395</v>
      </c>
      <c r="E193" s="96">
        <f>'WARD DATA'!D373</f>
        <v>30.7</v>
      </c>
      <c r="F193" s="67">
        <f>'WARD DATA'!E372</f>
        <v>849261</v>
      </c>
      <c r="G193" s="100">
        <f>'WARD DATA'!E373</f>
        <v>36.5</v>
      </c>
      <c r="H193" s="68">
        <f>'WARD DATA'!F372</f>
        <v>47159</v>
      </c>
      <c r="I193" s="96">
        <f>'WARD DATA'!F373</f>
        <v>44.9</v>
      </c>
      <c r="J193" s="75">
        <f>HLOOKUP($B$2,'WARD DATA'!$A$1:$AA$533,372,1)</f>
        <v>1801</v>
      </c>
      <c r="K193" s="69">
        <f>HLOOKUP($B$2,'WARD DATA'!$A$1:$AA$533,373,1)</f>
        <v>35.6</v>
      </c>
      <c r="L193" s="61"/>
    </row>
    <row r="194" spans="1:12" hidden="1" x14ac:dyDescent="0.2">
      <c r="A194" s="28"/>
      <c r="B194" s="91" t="s">
        <v>78</v>
      </c>
      <c r="C194" s="66"/>
      <c r="D194" s="67">
        <f>'WARD DATA'!D374</f>
        <v>5642969</v>
      </c>
      <c r="E194" s="96">
        <f>'WARD DATA'!D375</f>
        <v>24.5</v>
      </c>
      <c r="F194" s="67">
        <f>'WARD DATA'!E374</f>
        <v>643879</v>
      </c>
      <c r="G194" s="100">
        <f>'WARD DATA'!E375</f>
        <v>27.7</v>
      </c>
      <c r="H194" s="68">
        <f>'WARD DATA'!F374</f>
        <v>26317</v>
      </c>
      <c r="I194" s="96">
        <f>'WARD DATA'!F375</f>
        <v>25</v>
      </c>
      <c r="J194" s="75">
        <f>HLOOKUP($B$2,'WARD DATA'!$A$1:$AA$533,374,1)</f>
        <v>1321</v>
      </c>
      <c r="K194" s="69">
        <f>HLOOKUP($B$2,'WARD DATA'!$A$1:$AA$533,375,1)</f>
        <v>26.1</v>
      </c>
      <c r="L194" s="61"/>
    </row>
    <row r="195" spans="1:12" hidden="1" x14ac:dyDescent="0.2">
      <c r="A195" s="28"/>
      <c r="B195" s="91" t="s">
        <v>79</v>
      </c>
      <c r="C195" s="66"/>
      <c r="D195" s="67">
        <f>'WARD DATA'!D376</f>
        <v>3854451</v>
      </c>
      <c r="E195" s="96">
        <f>'WARD DATA'!D377</f>
        <v>16.7</v>
      </c>
      <c r="F195" s="67">
        <f>'WARD DATA'!E376</f>
        <v>275124</v>
      </c>
      <c r="G195" s="100">
        <f>'WARD DATA'!E377</f>
        <v>11.8</v>
      </c>
      <c r="H195" s="68">
        <f>'WARD DATA'!F376</f>
        <v>6790</v>
      </c>
      <c r="I195" s="96">
        <f>'WARD DATA'!F377</f>
        <v>6.5</v>
      </c>
      <c r="J195" s="75">
        <f>HLOOKUP($B$2,'WARD DATA'!$A$1:$AA$533,376,1)</f>
        <v>192</v>
      </c>
      <c r="K195" s="69">
        <f>HLOOKUP($B$2,'WARD DATA'!$A$1:$AA$533,377,1)</f>
        <v>3.8</v>
      </c>
      <c r="L195" s="61"/>
    </row>
    <row r="196" spans="1:12" ht="25.5" hidden="1" x14ac:dyDescent="0.2">
      <c r="A196" s="28"/>
      <c r="B196" s="91" t="s">
        <v>80</v>
      </c>
      <c r="C196" s="66"/>
      <c r="D196" s="67">
        <f>'WARD DATA'!D378</f>
        <v>984284</v>
      </c>
      <c r="E196" s="96">
        <f>'WARD DATA'!D379</f>
        <v>4.3</v>
      </c>
      <c r="F196" s="67">
        <f>'WARD DATA'!E378</f>
        <v>51591</v>
      </c>
      <c r="G196" s="100">
        <f>'WARD DATA'!E379</f>
        <v>2.2000000000000002</v>
      </c>
      <c r="H196" s="68">
        <f>'WARD DATA'!F378</f>
        <v>886</v>
      </c>
      <c r="I196" s="96">
        <f>'WARD DATA'!F379</f>
        <v>0.8</v>
      </c>
      <c r="J196" s="75">
        <f>HLOOKUP($B$2,'WARD DATA'!$A$1:$AA$533,378,1)</f>
        <v>35</v>
      </c>
      <c r="K196" s="69">
        <f>HLOOKUP($B$2,'WARD DATA'!$A$1:$AA$533,379,1)</f>
        <v>0.7</v>
      </c>
      <c r="L196" s="61"/>
    </row>
    <row r="197" spans="1:12" hidden="1" x14ac:dyDescent="0.2">
      <c r="A197" s="28"/>
      <c r="B197" s="91" t="s">
        <v>81</v>
      </c>
      <c r="C197" s="66"/>
      <c r="D197" s="67">
        <f>'WARD DATA'!D380</f>
        <v>257218</v>
      </c>
      <c r="E197" s="96">
        <f>'WARD DATA'!D381</f>
        <v>1.1000000000000001</v>
      </c>
      <c r="F197" s="67">
        <f>'WARD DATA'!E380</f>
        <v>21743</v>
      </c>
      <c r="G197" s="100">
        <f>'WARD DATA'!E381</f>
        <v>0.9</v>
      </c>
      <c r="H197" s="68">
        <f>'WARD DATA'!F380</f>
        <v>735</v>
      </c>
      <c r="I197" s="96">
        <f>'WARD DATA'!F381</f>
        <v>0.7</v>
      </c>
      <c r="J197" s="75">
        <f>HLOOKUP($B$2,'WARD DATA'!$A$1:$AA$533,380,1)</f>
        <v>36</v>
      </c>
      <c r="K197" s="69">
        <f>HLOOKUP($B$2,'WARD DATA'!$A$1:$AA$533,381,1)</f>
        <v>0.7</v>
      </c>
      <c r="L197" s="61"/>
    </row>
    <row r="198" spans="1:12" hidden="1" x14ac:dyDescent="0.2">
      <c r="A198" s="29"/>
      <c r="B198" s="92" t="s">
        <v>82</v>
      </c>
      <c r="C198" s="70"/>
      <c r="D198" s="71">
        <f>'WARD DATA'!D382</f>
        <v>100228</v>
      </c>
      <c r="E198" s="97">
        <f>'WARD DATA'!D383</f>
        <v>0.4</v>
      </c>
      <c r="F198" s="71">
        <f>'WARD DATA'!E382</f>
        <v>5478</v>
      </c>
      <c r="G198" s="101">
        <f>'WARD DATA'!E383</f>
        <v>0.2</v>
      </c>
      <c r="H198" s="72">
        <f>'WARD DATA'!F382</f>
        <v>49</v>
      </c>
      <c r="I198" s="97">
        <f>'WARD DATA'!F383</f>
        <v>0</v>
      </c>
      <c r="J198" s="76">
        <f>HLOOKUP($B$2,'WARD DATA'!$A$1:$AA$533,382,1)</f>
        <v>4</v>
      </c>
      <c r="K198" s="73">
        <f>HLOOKUP($B$2,'WARD DATA'!$A$1:$AA$533,383,1)</f>
        <v>0.1</v>
      </c>
      <c r="L198" s="61"/>
    </row>
    <row r="199" spans="1:12" hidden="1" x14ac:dyDescent="0.2">
      <c r="A199" s="104"/>
      <c r="B199" s="91"/>
      <c r="D199" s="47"/>
      <c r="E199" s="96"/>
      <c r="F199" s="47"/>
      <c r="G199" s="100"/>
      <c r="H199" s="20"/>
      <c r="I199" s="96"/>
      <c r="J199" s="53"/>
      <c r="K199" s="69"/>
      <c r="L199" s="61"/>
    </row>
    <row r="200" spans="1:12" hidden="1" x14ac:dyDescent="0.2">
      <c r="A200" s="27" t="s">
        <v>40</v>
      </c>
      <c r="B200" s="93" t="s">
        <v>33</v>
      </c>
      <c r="C200" s="62"/>
      <c r="D200" s="63">
        <f>'WARD DATA'!D384</f>
        <v>22063368</v>
      </c>
      <c r="E200" s="95">
        <f>'WARD DATA'!D385</f>
        <v>100</v>
      </c>
      <c r="F200" s="63">
        <f>'WARD DATA'!E384</f>
        <v>2224059</v>
      </c>
      <c r="G200" s="99">
        <f>'WARD DATA'!E385</f>
        <v>100</v>
      </c>
      <c r="H200" s="64">
        <f>'WARD DATA'!F384</f>
        <v>100734</v>
      </c>
      <c r="I200" s="95">
        <f>'WARD DATA'!F385</f>
        <v>100</v>
      </c>
      <c r="J200" s="74">
        <f>HLOOKUP($B$2,'WARD DATA'!$A$1:$AA$533,384,1)</f>
        <v>4878</v>
      </c>
      <c r="K200" s="65">
        <f>HLOOKUP($B$2,'WARD DATA'!$A$1:$AA$533,385,1)</f>
        <v>100</v>
      </c>
      <c r="L200" s="61"/>
    </row>
    <row r="201" spans="1:12" hidden="1" x14ac:dyDescent="0.2">
      <c r="A201" s="28"/>
      <c r="B201" s="91" t="s">
        <v>34</v>
      </c>
      <c r="C201" s="66"/>
      <c r="D201" s="67">
        <f>'WARD DATA'!D386</f>
        <v>5691251</v>
      </c>
      <c r="E201" s="96">
        <f>'WARD DATA'!D387</f>
        <v>25.8</v>
      </c>
      <c r="F201" s="67">
        <f>'WARD DATA'!E386</f>
        <v>612903</v>
      </c>
      <c r="G201" s="100">
        <f>'WARD DATA'!E387</f>
        <v>27.6</v>
      </c>
      <c r="H201" s="68">
        <f>'WARD DATA'!F386</f>
        <v>27108</v>
      </c>
      <c r="I201" s="96">
        <f>'WARD DATA'!F387</f>
        <v>26.9</v>
      </c>
      <c r="J201" s="75">
        <f>HLOOKUP($B$2,'WARD DATA'!$A$1:$AA$533,386,1)</f>
        <v>721</v>
      </c>
      <c r="K201" s="69">
        <f>HLOOKUP($B$2,'WARD DATA'!$A$1:$AA$533,387,1)</f>
        <v>14.8</v>
      </c>
      <c r="L201" s="61"/>
    </row>
    <row r="202" spans="1:12" hidden="1" x14ac:dyDescent="0.2">
      <c r="A202" s="28"/>
      <c r="B202" s="91" t="s">
        <v>35</v>
      </c>
      <c r="C202" s="66"/>
      <c r="D202" s="67">
        <f>'WARD DATA'!D388</f>
        <v>9301776</v>
      </c>
      <c r="E202" s="96">
        <f>'WARD DATA'!D389</f>
        <v>42.2</v>
      </c>
      <c r="F202" s="67">
        <f>'WARD DATA'!E388</f>
        <v>954222</v>
      </c>
      <c r="G202" s="100">
        <f>'WARD DATA'!E389</f>
        <v>42.9</v>
      </c>
      <c r="H202" s="68">
        <f>'WARD DATA'!F388</f>
        <v>43197</v>
      </c>
      <c r="I202" s="96">
        <f>'WARD DATA'!F389</f>
        <v>42.9</v>
      </c>
      <c r="J202" s="75">
        <f>HLOOKUP($B$2,'WARD DATA'!$A$1:$AA$533,388,1)</f>
        <v>2059</v>
      </c>
      <c r="K202" s="69">
        <f>HLOOKUP($B$2,'WARD DATA'!$A$1:$AA$533,389,1)</f>
        <v>42.2</v>
      </c>
      <c r="L202" s="61"/>
    </row>
    <row r="203" spans="1:12" hidden="1" x14ac:dyDescent="0.2">
      <c r="A203" s="28"/>
      <c r="B203" s="91" t="s">
        <v>36</v>
      </c>
      <c r="C203" s="66"/>
      <c r="D203" s="67">
        <f>'WARD DATA'!D390</f>
        <v>5441593</v>
      </c>
      <c r="E203" s="96">
        <f>'WARD DATA'!D391</f>
        <v>24.7</v>
      </c>
      <c r="F203" s="67">
        <f>'WARD DATA'!E390</f>
        <v>521858</v>
      </c>
      <c r="G203" s="100">
        <f>'WARD DATA'!E391</f>
        <v>23.5</v>
      </c>
      <c r="H203" s="68">
        <f>'WARD DATA'!F390</f>
        <v>24317</v>
      </c>
      <c r="I203" s="96">
        <f>'WARD DATA'!F391</f>
        <v>24.1</v>
      </c>
      <c r="J203" s="75">
        <f>HLOOKUP($B$2,'WARD DATA'!$A$1:$AA$533,390,1)</f>
        <v>1635</v>
      </c>
      <c r="K203" s="69">
        <f>HLOOKUP($B$2,'WARD DATA'!$A$1:$AA$533,391,1)</f>
        <v>33.5</v>
      </c>
      <c r="L203" s="61"/>
    </row>
    <row r="204" spans="1:12" hidden="1" x14ac:dyDescent="0.2">
      <c r="A204" s="28"/>
      <c r="B204" s="91" t="s">
        <v>37</v>
      </c>
      <c r="C204" s="66"/>
      <c r="D204" s="67">
        <f>'WARD DATA'!D392</f>
        <v>1203865</v>
      </c>
      <c r="E204" s="96">
        <f>'WARD DATA'!D393</f>
        <v>5.5</v>
      </c>
      <c r="F204" s="67">
        <f>'WARD DATA'!E392</f>
        <v>102611</v>
      </c>
      <c r="G204" s="100">
        <f>'WARD DATA'!E393</f>
        <v>4.5999999999999996</v>
      </c>
      <c r="H204" s="68">
        <f>'WARD DATA'!F392</f>
        <v>4804</v>
      </c>
      <c r="I204" s="96">
        <f>'WARD DATA'!F393</f>
        <v>4.8</v>
      </c>
      <c r="J204" s="75">
        <f>HLOOKUP($B$2,'WARD DATA'!$A$1:$AA$533,392,1)</f>
        <v>346</v>
      </c>
      <c r="K204" s="69">
        <f>HLOOKUP($B$2,'WARD DATA'!$A$1:$AA$533,393,1)</f>
        <v>7.1</v>
      </c>
      <c r="L204" s="61"/>
    </row>
    <row r="205" spans="1:12" hidden="1" x14ac:dyDescent="0.2">
      <c r="A205" s="28"/>
      <c r="B205" s="91" t="s">
        <v>38</v>
      </c>
      <c r="C205" s="66"/>
      <c r="D205" s="67">
        <f>'WARD DATA'!D394</f>
        <v>424883</v>
      </c>
      <c r="E205" s="96">
        <f>'WARD DATA'!D395</f>
        <v>1.9</v>
      </c>
      <c r="F205" s="67">
        <f>'WARD DATA'!E394</f>
        <v>32465</v>
      </c>
      <c r="G205" s="100">
        <f>'WARD DATA'!E395</f>
        <v>1.5</v>
      </c>
      <c r="H205" s="68">
        <f>'WARD DATA'!F394</f>
        <v>1308</v>
      </c>
      <c r="I205" s="96">
        <f>'WARD DATA'!F395</f>
        <v>1.3</v>
      </c>
      <c r="J205" s="75">
        <f>HLOOKUP($B$2,'WARD DATA'!$A$1:$AA$533,394,1)</f>
        <v>117</v>
      </c>
      <c r="K205" s="69">
        <f>HLOOKUP($B$2,'WARD DATA'!$A$1:$AA$533,395,1)</f>
        <v>2.4</v>
      </c>
      <c r="L205" s="61"/>
    </row>
    <row r="206" spans="1:12" hidden="1" x14ac:dyDescent="0.2">
      <c r="A206" s="29"/>
      <c r="B206" s="92" t="s">
        <v>39</v>
      </c>
      <c r="C206" s="70"/>
      <c r="D206" s="71">
        <f>'WARD DATA'!D396</f>
        <v>25696833</v>
      </c>
      <c r="E206" s="97"/>
      <c r="F206" s="71">
        <f>'WARD DATA'!E396</f>
        <v>2451298</v>
      </c>
      <c r="G206" s="101"/>
      <c r="H206" s="72">
        <f>'WARD DATA'!F396</f>
        <v>112010</v>
      </c>
      <c r="I206" s="97"/>
      <c r="J206" s="76">
        <f>HLOOKUP($B$2,'WARD DATA'!$A$1:$AA$533,396,1)</f>
        <v>6877</v>
      </c>
      <c r="K206" s="73"/>
      <c r="L206" s="61"/>
    </row>
    <row r="207" spans="1:12" hidden="1" x14ac:dyDescent="0.2">
      <c r="A207" s="104"/>
      <c r="B207" s="91"/>
      <c r="D207" s="47"/>
      <c r="E207" s="96"/>
      <c r="F207" s="47"/>
      <c r="G207" s="100"/>
      <c r="H207" s="20"/>
      <c r="I207" s="96"/>
      <c r="J207" s="53"/>
      <c r="K207" s="69"/>
      <c r="L207" s="61"/>
    </row>
    <row r="208" spans="1:12" hidden="1" x14ac:dyDescent="0.2">
      <c r="A208" s="27" t="s">
        <v>102</v>
      </c>
      <c r="B208" s="93" t="s">
        <v>84</v>
      </c>
      <c r="C208" s="62"/>
      <c r="D208" s="63">
        <f>'WARD DATA'!D398</f>
        <v>38881374</v>
      </c>
      <c r="E208" s="95">
        <f>'WARD DATA'!D399</f>
        <v>100</v>
      </c>
      <c r="F208" s="63">
        <f>'WARD DATA'!E398</f>
        <v>3875219</v>
      </c>
      <c r="G208" s="99">
        <f>'WARD DATA'!E399</f>
        <v>100</v>
      </c>
      <c r="H208" s="64">
        <f>'WARD DATA'!F398</f>
        <v>170405</v>
      </c>
      <c r="I208" s="95">
        <f>'WARD DATA'!F399</f>
        <v>100</v>
      </c>
      <c r="J208" s="74">
        <f>HLOOKUP($B$2,'WARD DATA'!$A$1:$AA$533,398,1)</f>
        <v>8422</v>
      </c>
      <c r="K208" s="65">
        <f>HLOOKUP($B$2,'WARD DATA'!$A$1:$AA$533,399,1)</f>
        <v>100</v>
      </c>
      <c r="L208" s="61"/>
    </row>
    <row r="209" spans="1:12" hidden="1" x14ac:dyDescent="0.2">
      <c r="A209" s="28"/>
      <c r="B209" s="91" t="s">
        <v>85</v>
      </c>
      <c r="C209" s="66"/>
      <c r="D209" s="67">
        <f>'WARD DATA'!D400</f>
        <v>27183134</v>
      </c>
      <c r="E209" s="96">
        <f>'WARD DATA'!D401</f>
        <v>69.900000000000006</v>
      </c>
      <c r="F209" s="67">
        <f>'WARD DATA'!E400</f>
        <v>2649975</v>
      </c>
      <c r="G209" s="100">
        <f>'WARD DATA'!E401</f>
        <v>68.400000000000006</v>
      </c>
      <c r="H209" s="68">
        <f>'WARD DATA'!F400</f>
        <v>113306</v>
      </c>
      <c r="I209" s="96">
        <f>'WARD DATA'!F401</f>
        <v>66.5</v>
      </c>
      <c r="J209" s="75">
        <f>HLOOKUP($B$2,'WARD DATA'!$A$1:$AA$533,400,1)</f>
        <v>6144</v>
      </c>
      <c r="K209" s="69">
        <f>HLOOKUP($B$2,'WARD DATA'!$A$1:$AA$533,401,1)</f>
        <v>73</v>
      </c>
      <c r="L209" s="61"/>
    </row>
    <row r="210" spans="1:12" hidden="1" x14ac:dyDescent="0.2">
      <c r="A210" s="28"/>
      <c r="B210" s="91" t="s">
        <v>86</v>
      </c>
      <c r="C210" s="66"/>
      <c r="D210" s="67">
        <f>'WARD DATA'!D402</f>
        <v>24143464</v>
      </c>
      <c r="E210" s="96">
        <f>'WARD DATA'!D403</f>
        <v>62.1</v>
      </c>
      <c r="F210" s="67">
        <f>'WARD DATA'!E402</f>
        <v>2325386</v>
      </c>
      <c r="G210" s="100">
        <f>'WARD DATA'!E403</f>
        <v>60</v>
      </c>
      <c r="H210" s="68">
        <f>'WARD DATA'!F402</f>
        <v>100751</v>
      </c>
      <c r="I210" s="96">
        <f>'WARD DATA'!F403</f>
        <v>59.1</v>
      </c>
      <c r="J210" s="75">
        <f>HLOOKUP($B$2,'WARD DATA'!$A$1:$AA$533,402,1)</f>
        <v>5689</v>
      </c>
      <c r="K210" s="69">
        <f>HLOOKUP($B$2,'WARD DATA'!$A$1:$AA$533,403,1)</f>
        <v>67.5</v>
      </c>
      <c r="L210" s="61"/>
    </row>
    <row r="211" spans="1:12" hidden="1" x14ac:dyDescent="0.2">
      <c r="A211" s="28"/>
      <c r="B211" s="91" t="s">
        <v>87</v>
      </c>
      <c r="C211" s="66"/>
      <c r="D211" s="67">
        <f>'WARD DATA'!D404</f>
        <v>5333268</v>
      </c>
      <c r="E211" s="96">
        <f>'WARD DATA'!D405</f>
        <v>13.7</v>
      </c>
      <c r="F211" s="67">
        <f>'WARD DATA'!E404</f>
        <v>564578</v>
      </c>
      <c r="G211" s="100">
        <f>'WARD DATA'!E405</f>
        <v>14.6</v>
      </c>
      <c r="H211" s="68">
        <f>'WARD DATA'!F404</f>
        <v>24807</v>
      </c>
      <c r="I211" s="96">
        <f>'WARD DATA'!F405</f>
        <v>14.6</v>
      </c>
      <c r="J211" s="75">
        <f>HLOOKUP($B$2,'WARD DATA'!$A$1:$AA$533,404,1)</f>
        <v>1272</v>
      </c>
      <c r="K211" s="69">
        <f>HLOOKUP($B$2,'WARD DATA'!$A$1:$AA$533,405,1)</f>
        <v>15.1</v>
      </c>
      <c r="L211" s="61"/>
    </row>
    <row r="212" spans="1:12" hidden="1" x14ac:dyDescent="0.2">
      <c r="A212" s="28"/>
      <c r="B212" s="91" t="s">
        <v>88</v>
      </c>
      <c r="C212" s="66"/>
      <c r="D212" s="67">
        <f>'WARD DATA'!D406</f>
        <v>15016564</v>
      </c>
      <c r="E212" s="96">
        <f>'WARD DATA'!D407</f>
        <v>38.6</v>
      </c>
      <c r="F212" s="67">
        <f>'WARD DATA'!E406</f>
        <v>1435376</v>
      </c>
      <c r="G212" s="100">
        <f>'WARD DATA'!E407</f>
        <v>37</v>
      </c>
      <c r="H212" s="68">
        <f>'WARD DATA'!F406</f>
        <v>62841</v>
      </c>
      <c r="I212" s="96">
        <f>'WARD DATA'!F407</f>
        <v>36.9</v>
      </c>
      <c r="J212" s="75">
        <f>HLOOKUP($B$2,'WARD DATA'!$A$1:$AA$533,406,1)</f>
        <v>3507</v>
      </c>
      <c r="K212" s="69">
        <f>HLOOKUP($B$2,'WARD DATA'!$A$1:$AA$533,407,1)</f>
        <v>41.6</v>
      </c>
      <c r="L212" s="61"/>
    </row>
    <row r="213" spans="1:12" hidden="1" x14ac:dyDescent="0.2">
      <c r="A213" s="28"/>
      <c r="B213" s="91" t="s">
        <v>89</v>
      </c>
      <c r="C213" s="66"/>
      <c r="D213" s="67">
        <f>'WARD DATA'!D408</f>
        <v>3793632</v>
      </c>
      <c r="E213" s="96">
        <f>'WARD DATA'!D409</f>
        <v>9.8000000000000007</v>
      </c>
      <c r="F213" s="67">
        <f>'WARD DATA'!E408</f>
        <v>325432</v>
      </c>
      <c r="G213" s="100">
        <f>'WARD DATA'!E409</f>
        <v>8.4</v>
      </c>
      <c r="H213" s="68">
        <f>'WARD DATA'!F408</f>
        <v>13103</v>
      </c>
      <c r="I213" s="96">
        <f>'WARD DATA'!F409</f>
        <v>7.7</v>
      </c>
      <c r="J213" s="75">
        <f>HLOOKUP($B$2,'WARD DATA'!$A$1:$AA$533,408,1)</f>
        <v>910</v>
      </c>
      <c r="K213" s="69">
        <f>HLOOKUP($B$2,'WARD DATA'!$A$1:$AA$533,409,1)</f>
        <v>10.8</v>
      </c>
      <c r="L213" s="61"/>
    </row>
    <row r="214" spans="1:12" hidden="1" x14ac:dyDescent="0.2">
      <c r="A214" s="28"/>
      <c r="B214" s="91" t="s">
        <v>90</v>
      </c>
      <c r="C214" s="66"/>
      <c r="D214" s="67">
        <f>'WARD DATA'!D410</f>
        <v>1702847</v>
      </c>
      <c r="E214" s="96">
        <f>'WARD DATA'!D411</f>
        <v>4.4000000000000004</v>
      </c>
      <c r="F214" s="67">
        <f>'WARD DATA'!E410</f>
        <v>187755</v>
      </c>
      <c r="G214" s="100">
        <f>'WARD DATA'!E411</f>
        <v>4.8</v>
      </c>
      <c r="H214" s="68">
        <f>'WARD DATA'!F410</f>
        <v>8738</v>
      </c>
      <c r="I214" s="96">
        <f>'WARD DATA'!F411</f>
        <v>5.0999999999999996</v>
      </c>
      <c r="J214" s="75">
        <f>HLOOKUP($B$2,'WARD DATA'!$A$1:$AA$533,410,1)</f>
        <v>251</v>
      </c>
      <c r="K214" s="69">
        <f>HLOOKUP($B$2,'WARD DATA'!$A$1:$AA$533,411,1)</f>
        <v>3</v>
      </c>
      <c r="L214" s="61"/>
    </row>
    <row r="215" spans="1:12" hidden="1" x14ac:dyDescent="0.2">
      <c r="A215" s="28"/>
      <c r="B215" s="91" t="s">
        <v>91</v>
      </c>
      <c r="C215" s="66"/>
      <c r="D215" s="67">
        <f>'WARD DATA'!D412</f>
        <v>1336823</v>
      </c>
      <c r="E215" s="96">
        <f>'WARD DATA'!D413</f>
        <v>3.4</v>
      </c>
      <c r="F215" s="67">
        <f>'WARD DATA'!E412</f>
        <v>136834</v>
      </c>
      <c r="G215" s="100">
        <f>'WARD DATA'!E413</f>
        <v>3.5</v>
      </c>
      <c r="H215" s="68">
        <f>'WARD DATA'!F412</f>
        <v>3817</v>
      </c>
      <c r="I215" s="96">
        <f>'WARD DATA'!F413</f>
        <v>2.2000000000000002</v>
      </c>
      <c r="J215" s="75">
        <f>HLOOKUP($B$2,'WARD DATA'!$A$1:$AA$533,412,1)</f>
        <v>204</v>
      </c>
      <c r="K215" s="69">
        <f>HLOOKUP($B$2,'WARD DATA'!$A$1:$AA$533,413,1)</f>
        <v>2.4</v>
      </c>
      <c r="L215" s="61"/>
    </row>
    <row r="216" spans="1:12" hidden="1" x14ac:dyDescent="0.2">
      <c r="A216" s="28"/>
      <c r="B216" s="91" t="s">
        <v>92</v>
      </c>
      <c r="C216" s="66"/>
      <c r="D216" s="67">
        <f>'WARD DATA'!D414</f>
        <v>11698240</v>
      </c>
      <c r="E216" s="96">
        <f>'WARD DATA'!D415</f>
        <v>30.1</v>
      </c>
      <c r="F216" s="67">
        <f>'WARD DATA'!E414</f>
        <v>1225244</v>
      </c>
      <c r="G216" s="100">
        <f>'WARD DATA'!E415</f>
        <v>31.6</v>
      </c>
      <c r="H216" s="68">
        <f>'WARD DATA'!F414</f>
        <v>57099</v>
      </c>
      <c r="I216" s="96">
        <f>'WARD DATA'!F415</f>
        <v>33.5</v>
      </c>
      <c r="J216" s="75">
        <f>HLOOKUP($B$2,'WARD DATA'!$A$1:$AA$533,414,1)</f>
        <v>2278</v>
      </c>
      <c r="K216" s="69">
        <f>HLOOKUP($B$2,'WARD DATA'!$A$1:$AA$533,415,1)</f>
        <v>27</v>
      </c>
      <c r="L216" s="61"/>
    </row>
    <row r="217" spans="1:12" hidden="1" x14ac:dyDescent="0.2">
      <c r="A217" s="28"/>
      <c r="B217" s="91" t="s">
        <v>93</v>
      </c>
      <c r="C217" s="66"/>
      <c r="D217" s="67">
        <f>'WARD DATA'!D416</f>
        <v>5320691</v>
      </c>
      <c r="E217" s="96">
        <f>'WARD DATA'!D417</f>
        <v>13.7</v>
      </c>
      <c r="F217" s="67">
        <f>'WARD DATA'!E416</f>
        <v>570173</v>
      </c>
      <c r="G217" s="100">
        <f>'WARD DATA'!E417</f>
        <v>14.7</v>
      </c>
      <c r="H217" s="68">
        <f>'WARD DATA'!F416</f>
        <v>28008</v>
      </c>
      <c r="I217" s="96">
        <f>'WARD DATA'!F417</f>
        <v>16.399999999999999</v>
      </c>
      <c r="J217" s="75">
        <f>HLOOKUP($B$2,'WARD DATA'!$A$1:$AA$533,416,1)</f>
        <v>1398</v>
      </c>
      <c r="K217" s="69">
        <f>HLOOKUP($B$2,'WARD DATA'!$A$1:$AA$533,417,1)</f>
        <v>16.600000000000001</v>
      </c>
      <c r="L217" s="61"/>
    </row>
    <row r="218" spans="1:12" hidden="1" x14ac:dyDescent="0.2">
      <c r="A218" s="28"/>
      <c r="B218" s="91" t="s">
        <v>94</v>
      </c>
      <c r="C218" s="66"/>
      <c r="D218" s="67">
        <f>'WARD DATA'!D418</f>
        <v>2255831</v>
      </c>
      <c r="E218" s="96">
        <f>'WARD DATA'!D419</f>
        <v>5.8</v>
      </c>
      <c r="F218" s="67">
        <f>'WARD DATA'!E418</f>
        <v>228653</v>
      </c>
      <c r="G218" s="100">
        <f>'WARD DATA'!E419</f>
        <v>5.9</v>
      </c>
      <c r="H218" s="68">
        <f>'WARD DATA'!F418</f>
        <v>6225</v>
      </c>
      <c r="I218" s="96">
        <f>'WARD DATA'!F419</f>
        <v>3.7</v>
      </c>
      <c r="J218" s="75">
        <f>HLOOKUP($B$2,'WARD DATA'!$A$1:$AA$533,418,1)</f>
        <v>278</v>
      </c>
      <c r="K218" s="69">
        <f>HLOOKUP($B$2,'WARD DATA'!$A$1:$AA$533,419,1)</f>
        <v>3.3</v>
      </c>
      <c r="L218" s="61"/>
    </row>
    <row r="219" spans="1:12" hidden="1" x14ac:dyDescent="0.2">
      <c r="A219" s="28"/>
      <c r="B219" s="91" t="s">
        <v>95</v>
      </c>
      <c r="C219" s="66"/>
      <c r="D219" s="67">
        <f>'WARD DATA'!D420</f>
        <v>1695134</v>
      </c>
      <c r="E219" s="96">
        <f>'WARD DATA'!D421</f>
        <v>4.4000000000000004</v>
      </c>
      <c r="F219" s="67">
        <f>'WARD DATA'!E420</f>
        <v>166214</v>
      </c>
      <c r="G219" s="100">
        <f>'WARD DATA'!E421</f>
        <v>4.3</v>
      </c>
      <c r="H219" s="68">
        <f>'WARD DATA'!F420</f>
        <v>7435</v>
      </c>
      <c r="I219" s="96">
        <f>'WARD DATA'!F421</f>
        <v>4.4000000000000004</v>
      </c>
      <c r="J219" s="75">
        <f>HLOOKUP($B$2,'WARD DATA'!$A$1:$AA$533,420,1)</f>
        <v>260</v>
      </c>
      <c r="K219" s="69">
        <f>HLOOKUP($B$2,'WARD DATA'!$A$1:$AA$533,421,1)</f>
        <v>3.1</v>
      </c>
      <c r="L219" s="61"/>
    </row>
    <row r="220" spans="1:12" hidden="1" x14ac:dyDescent="0.2">
      <c r="A220" s="28"/>
      <c r="B220" s="91" t="s">
        <v>96</v>
      </c>
      <c r="C220" s="66"/>
      <c r="D220" s="67">
        <f>'WARD DATA'!D422</f>
        <v>1574134</v>
      </c>
      <c r="E220" s="96">
        <f>'WARD DATA'!D423</f>
        <v>4</v>
      </c>
      <c r="F220" s="67">
        <f>'WARD DATA'!E422</f>
        <v>174493</v>
      </c>
      <c r="G220" s="100">
        <f>'WARD DATA'!E423</f>
        <v>4.5</v>
      </c>
      <c r="H220" s="68">
        <f>'WARD DATA'!F422</f>
        <v>11925</v>
      </c>
      <c r="I220" s="96">
        <f>'WARD DATA'!F423</f>
        <v>7</v>
      </c>
      <c r="J220" s="75">
        <f>HLOOKUP($B$2,'WARD DATA'!$A$1:$AA$533,422,1)</f>
        <v>246</v>
      </c>
      <c r="K220" s="69">
        <f>HLOOKUP($B$2,'WARD DATA'!$A$1:$AA$533,423,1)</f>
        <v>2.9</v>
      </c>
      <c r="L220" s="61"/>
    </row>
    <row r="221" spans="1:12" hidden="1" x14ac:dyDescent="0.2">
      <c r="A221" s="28"/>
      <c r="B221" s="91" t="s">
        <v>97</v>
      </c>
      <c r="C221" s="66"/>
      <c r="D221" s="67">
        <f>'WARD DATA'!D424</f>
        <v>852450</v>
      </c>
      <c r="E221" s="96">
        <f>'WARD DATA'!D425</f>
        <v>2.2000000000000002</v>
      </c>
      <c r="F221" s="67">
        <f>'WARD DATA'!E424</f>
        <v>85711</v>
      </c>
      <c r="G221" s="100">
        <f>'WARD DATA'!E425</f>
        <v>2.2000000000000002</v>
      </c>
      <c r="H221" s="68">
        <f>'WARD DATA'!F424</f>
        <v>3506</v>
      </c>
      <c r="I221" s="96">
        <f>'WARD DATA'!F425</f>
        <v>2.1</v>
      </c>
      <c r="J221" s="75">
        <f>HLOOKUP($B$2,'WARD DATA'!$A$1:$AA$533,424,1)</f>
        <v>96</v>
      </c>
      <c r="K221" s="69">
        <f>HLOOKUP($B$2,'WARD DATA'!$A$1:$AA$533,425,1)</f>
        <v>1.1000000000000001</v>
      </c>
      <c r="L221" s="61"/>
    </row>
    <row r="222" spans="1:12" hidden="1" x14ac:dyDescent="0.2">
      <c r="A222" s="28"/>
      <c r="B222" s="91" t="s">
        <v>98</v>
      </c>
      <c r="C222" s="66"/>
      <c r="D222" s="67">
        <f>'WARD DATA'!D426</f>
        <v>471666</v>
      </c>
      <c r="E222" s="96">
        <f>'WARD DATA'!D427</f>
        <v>1.2</v>
      </c>
      <c r="F222" s="67">
        <f>'WARD DATA'!E426</f>
        <v>56251</v>
      </c>
      <c r="G222" s="100">
        <f>'WARD DATA'!E427</f>
        <v>1.5</v>
      </c>
      <c r="H222" s="68">
        <f>'WARD DATA'!F426</f>
        <v>2942</v>
      </c>
      <c r="I222" s="96">
        <f>'WARD DATA'!F427</f>
        <v>1.7</v>
      </c>
      <c r="J222" s="75">
        <f>HLOOKUP($B$2,'WARD DATA'!$A$1:$AA$533,426,1)</f>
        <v>77</v>
      </c>
      <c r="K222" s="69">
        <f>HLOOKUP($B$2,'WARD DATA'!$A$1:$AA$533,427,1)</f>
        <v>0.9</v>
      </c>
      <c r="L222" s="61"/>
    </row>
    <row r="223" spans="1:12" hidden="1" x14ac:dyDescent="0.2">
      <c r="A223" s="28"/>
      <c r="B223" s="91" t="s">
        <v>99</v>
      </c>
      <c r="C223" s="66"/>
      <c r="D223" s="67">
        <f>'WARD DATA'!D428</f>
        <v>315863</v>
      </c>
      <c r="E223" s="96">
        <f>'WARD DATA'!D429</f>
        <v>0.8</v>
      </c>
      <c r="F223" s="67">
        <f>'WARD DATA'!E428</f>
        <v>32216</v>
      </c>
      <c r="G223" s="100">
        <f>'WARD DATA'!E429</f>
        <v>0.8</v>
      </c>
      <c r="H223" s="68">
        <f>'WARD DATA'!F428</f>
        <v>1349</v>
      </c>
      <c r="I223" s="96">
        <f>'WARD DATA'!F429</f>
        <v>0.8</v>
      </c>
      <c r="J223" s="75">
        <f>HLOOKUP($B$2,'WARD DATA'!$A$1:$AA$533,428,1)</f>
        <v>54</v>
      </c>
      <c r="K223" s="69">
        <f>HLOOKUP($B$2,'WARD DATA'!$A$1:$AA$533,429,1)</f>
        <v>0.6</v>
      </c>
      <c r="L223" s="61"/>
    </row>
    <row r="224" spans="1:12" hidden="1" x14ac:dyDescent="0.2">
      <c r="A224" s="28"/>
      <c r="B224" s="91" t="s">
        <v>100</v>
      </c>
      <c r="C224" s="66"/>
      <c r="D224" s="67">
        <f>'WARD DATA'!D430</f>
        <v>276121</v>
      </c>
      <c r="E224" s="96">
        <f>'WARD DATA'!D431</f>
        <v>0.7</v>
      </c>
      <c r="F224" s="67">
        <f>'WARD DATA'!E430</f>
        <v>32785</v>
      </c>
      <c r="G224" s="100">
        <f>'WARD DATA'!E431</f>
        <v>0.8</v>
      </c>
      <c r="H224" s="68">
        <f>'WARD DATA'!F430</f>
        <v>1639</v>
      </c>
      <c r="I224" s="96">
        <f>'WARD DATA'!F431</f>
        <v>1</v>
      </c>
      <c r="J224" s="75">
        <f>HLOOKUP($B$2,'WARD DATA'!$A$1:$AA$533,430,1)</f>
        <v>35</v>
      </c>
      <c r="K224" s="69">
        <f>HLOOKUP($B$2,'WARD DATA'!$A$1:$AA$533,431,1)</f>
        <v>0.4</v>
      </c>
      <c r="L224" s="61"/>
    </row>
    <row r="225" spans="1:12" hidden="1" x14ac:dyDescent="0.2">
      <c r="A225" s="29"/>
      <c r="B225" s="92" t="s">
        <v>101</v>
      </c>
      <c r="C225" s="70"/>
      <c r="D225" s="71">
        <f>'WARD DATA'!D432</f>
        <v>668496</v>
      </c>
      <c r="E225" s="97">
        <f>'WARD DATA'!D433</f>
        <v>1.7</v>
      </c>
      <c r="F225" s="71">
        <f>'WARD DATA'!E432</f>
        <v>75113</v>
      </c>
      <c r="G225" s="101">
        <f>'WARD DATA'!E433</f>
        <v>1.9</v>
      </c>
      <c r="H225" s="72">
        <f>'WARD DATA'!F432</f>
        <v>3577</v>
      </c>
      <c r="I225" s="97">
        <f>'WARD DATA'!F433</f>
        <v>2.1</v>
      </c>
      <c r="J225" s="76">
        <f>HLOOKUP($B$2,'WARD DATA'!$A$1:$AA$533,432,1)</f>
        <v>98</v>
      </c>
      <c r="K225" s="73">
        <f>HLOOKUP($B$2,'WARD DATA'!$A$1:$AA$533,433,1)</f>
        <v>1.2</v>
      </c>
      <c r="L225" s="61"/>
    </row>
    <row r="226" spans="1:12" hidden="1" x14ac:dyDescent="0.2">
      <c r="A226" s="104"/>
      <c r="B226" s="91"/>
      <c r="D226" s="47"/>
      <c r="E226" s="96"/>
      <c r="F226" s="47"/>
      <c r="G226" s="100"/>
      <c r="H226" s="20"/>
      <c r="I226" s="96"/>
      <c r="J226" s="53"/>
      <c r="K226" s="69"/>
      <c r="L226" s="61"/>
    </row>
    <row r="227" spans="1:12" ht="25.5" hidden="1" x14ac:dyDescent="0.2">
      <c r="A227" s="27" t="s">
        <v>130</v>
      </c>
      <c r="B227" s="93" t="s">
        <v>125</v>
      </c>
      <c r="C227" s="62"/>
      <c r="D227" s="63">
        <f>'WARD DATA'!D434</f>
        <v>25162721</v>
      </c>
      <c r="E227" s="95">
        <f>'WARD DATA'!D435</f>
        <v>100</v>
      </c>
      <c r="F227" s="63">
        <f>'WARD DATA'!E434</f>
        <v>2428074</v>
      </c>
      <c r="G227" s="99">
        <f>'WARD DATA'!E435</f>
        <v>100</v>
      </c>
      <c r="H227" s="64">
        <f>'WARD DATA'!F434</f>
        <v>103579</v>
      </c>
      <c r="I227" s="95">
        <f>'WARD DATA'!F435</f>
        <v>100</v>
      </c>
      <c r="J227" s="74">
        <f>HLOOKUP($B$2,'WARD DATA'!$A$1:$AA$533,434,1)</f>
        <v>5860</v>
      </c>
      <c r="K227" s="65">
        <f>HLOOKUP($B$2,'WARD DATA'!$A$1:$AA$533,435,1)</f>
        <v>100</v>
      </c>
      <c r="L227" s="61"/>
    </row>
    <row r="228" spans="1:12" hidden="1" x14ac:dyDescent="0.2">
      <c r="A228" s="28"/>
      <c r="B228" s="91" t="s">
        <v>126</v>
      </c>
      <c r="C228" s="66"/>
      <c r="D228" s="67">
        <f>'WARD DATA'!D436</f>
        <v>2418518</v>
      </c>
      <c r="E228" s="96">
        <f>'WARD DATA'!D437</f>
        <v>9.6</v>
      </c>
      <c r="F228" s="67">
        <f>'WARD DATA'!E436</f>
        <v>229654</v>
      </c>
      <c r="G228" s="100">
        <f>'WARD DATA'!E437</f>
        <v>9.5</v>
      </c>
      <c r="H228" s="68">
        <f>'WARD DATA'!F436</f>
        <v>8086</v>
      </c>
      <c r="I228" s="96">
        <f>'WARD DATA'!F437</f>
        <v>7.8</v>
      </c>
      <c r="J228" s="75">
        <f>HLOOKUP($B$2,'WARD DATA'!$A$1:$AA$533,436,1)</f>
        <v>509</v>
      </c>
      <c r="K228" s="69">
        <f>HLOOKUP($B$2,'WARD DATA'!$A$1:$AA$533,437,1)</f>
        <v>8.6999999999999993</v>
      </c>
      <c r="L228" s="61"/>
    </row>
    <row r="229" spans="1:12" hidden="1" x14ac:dyDescent="0.2">
      <c r="A229" s="28"/>
      <c r="B229" s="91" t="s">
        <v>127</v>
      </c>
      <c r="C229" s="66"/>
      <c r="D229" s="67">
        <f>'WARD DATA'!D438</f>
        <v>4888565</v>
      </c>
      <c r="E229" s="96">
        <f>'WARD DATA'!D439</f>
        <v>19.399999999999999</v>
      </c>
      <c r="F229" s="67">
        <f>'WARD DATA'!E438</f>
        <v>515440</v>
      </c>
      <c r="G229" s="100">
        <f>'WARD DATA'!E439</f>
        <v>21.2</v>
      </c>
      <c r="H229" s="68">
        <f>'WARD DATA'!F438</f>
        <v>22357</v>
      </c>
      <c r="I229" s="96">
        <f>'WARD DATA'!F439</f>
        <v>21.6</v>
      </c>
      <c r="J229" s="75">
        <f>HLOOKUP($B$2,'WARD DATA'!$A$1:$AA$533,438,1)</f>
        <v>1125</v>
      </c>
      <c r="K229" s="69">
        <f>HLOOKUP($B$2,'WARD DATA'!$A$1:$AA$533,439,1)</f>
        <v>19.2</v>
      </c>
      <c r="L229" s="61"/>
    </row>
    <row r="230" spans="1:12" hidden="1" x14ac:dyDescent="0.2">
      <c r="A230" s="28"/>
      <c r="B230" s="91" t="s">
        <v>128</v>
      </c>
      <c r="C230" s="66"/>
      <c r="D230" s="67">
        <f>'WARD DATA'!D440</f>
        <v>14502713</v>
      </c>
      <c r="E230" s="96">
        <f>'WARD DATA'!D441</f>
        <v>57.6</v>
      </c>
      <c r="F230" s="67">
        <f>'WARD DATA'!E440</f>
        <v>1393681</v>
      </c>
      <c r="G230" s="100">
        <f>'WARD DATA'!E441</f>
        <v>57.4</v>
      </c>
      <c r="H230" s="68">
        <f>'WARD DATA'!F440</f>
        <v>61102</v>
      </c>
      <c r="I230" s="96">
        <f>'WARD DATA'!F441</f>
        <v>59</v>
      </c>
      <c r="J230" s="75">
        <f>HLOOKUP($B$2,'WARD DATA'!$A$1:$AA$533,440,1)</f>
        <v>3320</v>
      </c>
      <c r="K230" s="69">
        <f>HLOOKUP($B$2,'WARD DATA'!$A$1:$AA$533,441,1)</f>
        <v>56.7</v>
      </c>
      <c r="L230" s="61"/>
    </row>
    <row r="231" spans="1:12" hidden="1" x14ac:dyDescent="0.2">
      <c r="A231" s="29"/>
      <c r="B231" s="92" t="s">
        <v>129</v>
      </c>
      <c r="C231" s="70"/>
      <c r="D231" s="71">
        <f>'WARD DATA'!D442</f>
        <v>3352925</v>
      </c>
      <c r="E231" s="97">
        <f>'WARD DATA'!D443</f>
        <v>13.3</v>
      </c>
      <c r="F231" s="71">
        <f>'WARD DATA'!E442</f>
        <v>289299</v>
      </c>
      <c r="G231" s="101">
        <f>'WARD DATA'!E443</f>
        <v>11.9</v>
      </c>
      <c r="H231" s="72">
        <f>'WARD DATA'!F442</f>
        <v>12034</v>
      </c>
      <c r="I231" s="97">
        <f>'WARD DATA'!F443</f>
        <v>11.6</v>
      </c>
      <c r="J231" s="76">
        <f>HLOOKUP($B$2,'WARD DATA'!$A$1:$AA$533,442,1)</f>
        <v>906</v>
      </c>
      <c r="K231" s="73">
        <f>HLOOKUP($B$2,'WARD DATA'!$A$1:$AA$533,443,1)</f>
        <v>15.5</v>
      </c>
      <c r="L231" s="61"/>
    </row>
    <row r="232" spans="1:12" hidden="1" x14ac:dyDescent="0.2">
      <c r="A232" s="104"/>
      <c r="B232" s="91"/>
      <c r="D232" s="47"/>
      <c r="E232" s="96"/>
      <c r="F232" s="47"/>
      <c r="G232" s="100"/>
      <c r="H232" s="20"/>
      <c r="I232" s="96"/>
      <c r="J232" s="53"/>
      <c r="K232" s="69"/>
      <c r="L232" s="61"/>
    </row>
    <row r="233" spans="1:12" hidden="1" x14ac:dyDescent="0.2">
      <c r="A233" s="27" t="s">
        <v>156</v>
      </c>
      <c r="B233" s="93" t="s">
        <v>137</v>
      </c>
      <c r="C233" s="62"/>
      <c r="D233" s="63">
        <f>'WARD DATA'!D444</f>
        <v>25162721</v>
      </c>
      <c r="E233" s="95">
        <f>'WARD DATA'!D445</f>
        <v>100</v>
      </c>
      <c r="F233" s="63">
        <f>'WARD DATA'!E444</f>
        <v>2428074</v>
      </c>
      <c r="G233" s="99">
        <f>'WARD DATA'!E445</f>
        <v>100</v>
      </c>
      <c r="H233" s="64">
        <f>'WARD DATA'!F444</f>
        <v>103579</v>
      </c>
      <c r="I233" s="95">
        <f>'WARD DATA'!F445</f>
        <v>100</v>
      </c>
      <c r="J233" s="74">
        <f>HLOOKUP($B$2,'WARD DATA'!$A$1:$AA$533,444,1)</f>
        <v>5860</v>
      </c>
      <c r="K233" s="65">
        <f>HLOOKUP($B$2,'WARD DATA'!$A$1:$AA$533,445,1)</f>
        <v>100</v>
      </c>
      <c r="L233" s="61"/>
    </row>
    <row r="234" spans="1:12" hidden="1" x14ac:dyDescent="0.2">
      <c r="A234" s="28"/>
      <c r="B234" s="91" t="s">
        <v>138</v>
      </c>
      <c r="C234" s="66"/>
      <c r="D234" s="67">
        <f>'WARD DATA'!D446</f>
        <v>203789</v>
      </c>
      <c r="E234" s="96">
        <f>'WARD DATA'!D447</f>
        <v>0.8</v>
      </c>
      <c r="F234" s="67">
        <f>'WARD DATA'!E446</f>
        <v>22642</v>
      </c>
      <c r="G234" s="100">
        <f>'WARD DATA'!E447</f>
        <v>0.9</v>
      </c>
      <c r="H234" s="68">
        <f>'WARD DATA'!F446</f>
        <v>530</v>
      </c>
      <c r="I234" s="96">
        <f>'WARD DATA'!F447</f>
        <v>0.5</v>
      </c>
      <c r="J234" s="75">
        <f>HLOOKUP($B$2,'WARD DATA'!$A$1:$AA$533,446,1)</f>
        <v>104</v>
      </c>
      <c r="K234" s="69">
        <f>HLOOKUP($B$2,'WARD DATA'!$A$1:$AA$533,447,1)</f>
        <v>1.8</v>
      </c>
      <c r="L234" s="61"/>
    </row>
    <row r="235" spans="1:12" hidden="1" x14ac:dyDescent="0.2">
      <c r="A235" s="28"/>
      <c r="B235" s="91" t="s">
        <v>139</v>
      </c>
      <c r="C235" s="66"/>
      <c r="D235" s="67">
        <f>'WARD DATA'!D448</f>
        <v>43302</v>
      </c>
      <c r="E235" s="96">
        <f>'WARD DATA'!D449</f>
        <v>0.2</v>
      </c>
      <c r="F235" s="67">
        <f>'WARD DATA'!E448</f>
        <v>5558</v>
      </c>
      <c r="G235" s="100">
        <f>'WARD DATA'!E449</f>
        <v>0.2</v>
      </c>
      <c r="H235" s="68">
        <f>'WARD DATA'!F448</f>
        <v>447</v>
      </c>
      <c r="I235" s="96">
        <f>'WARD DATA'!F449</f>
        <v>0.4</v>
      </c>
      <c r="J235" s="75">
        <f>HLOOKUP($B$2,'WARD DATA'!$A$1:$AA$533,448,1)</f>
        <v>5</v>
      </c>
      <c r="K235" s="69">
        <f>HLOOKUP($B$2,'WARD DATA'!$A$1:$AA$533,449,1)</f>
        <v>0.1</v>
      </c>
      <c r="L235" s="61"/>
    </row>
    <row r="236" spans="1:12" hidden="1" x14ac:dyDescent="0.2">
      <c r="A236" s="28"/>
      <c r="B236" s="91" t="s">
        <v>140</v>
      </c>
      <c r="C236" s="66"/>
      <c r="D236" s="67">
        <f>'WARD DATA'!D450</f>
        <v>2226247</v>
      </c>
      <c r="E236" s="96">
        <f>'WARD DATA'!D451</f>
        <v>8.8000000000000007</v>
      </c>
      <c r="F236" s="67">
        <f>'WARD DATA'!E450</f>
        <v>272746</v>
      </c>
      <c r="G236" s="100">
        <f>'WARD DATA'!E451</f>
        <v>11.2</v>
      </c>
      <c r="H236" s="68">
        <f>'WARD DATA'!F450</f>
        <v>13003</v>
      </c>
      <c r="I236" s="96">
        <f>'WARD DATA'!F451</f>
        <v>12.6</v>
      </c>
      <c r="J236" s="75">
        <f>HLOOKUP($B$2,'WARD DATA'!$A$1:$AA$533,450,1)</f>
        <v>806</v>
      </c>
      <c r="K236" s="69">
        <f>HLOOKUP($B$2,'WARD DATA'!$A$1:$AA$533,451,1)</f>
        <v>13.8</v>
      </c>
      <c r="L236" s="61"/>
    </row>
    <row r="237" spans="1:12" hidden="1" x14ac:dyDescent="0.2">
      <c r="A237" s="28"/>
      <c r="B237" s="91" t="s">
        <v>141</v>
      </c>
      <c r="C237" s="66"/>
      <c r="D237" s="67">
        <f>'WARD DATA'!D452</f>
        <v>140148</v>
      </c>
      <c r="E237" s="96">
        <f>'WARD DATA'!D453</f>
        <v>0.6</v>
      </c>
      <c r="F237" s="67">
        <f>'WARD DATA'!E452</f>
        <v>14406</v>
      </c>
      <c r="G237" s="100">
        <f>'WARD DATA'!E453</f>
        <v>0.6</v>
      </c>
      <c r="H237" s="68">
        <f>'WARD DATA'!F452</f>
        <v>556</v>
      </c>
      <c r="I237" s="96">
        <f>'WARD DATA'!F453</f>
        <v>0.5</v>
      </c>
      <c r="J237" s="75">
        <f>HLOOKUP($B$2,'WARD DATA'!$A$1:$AA$533,452,1)</f>
        <v>18</v>
      </c>
      <c r="K237" s="69">
        <f>HLOOKUP($B$2,'WARD DATA'!$A$1:$AA$533,453,1)</f>
        <v>0.3</v>
      </c>
      <c r="L237" s="61"/>
    </row>
    <row r="238" spans="1:12" ht="25.5" hidden="1" x14ac:dyDescent="0.2">
      <c r="A238" s="28"/>
      <c r="B238" s="91" t="s">
        <v>142</v>
      </c>
      <c r="C238" s="66"/>
      <c r="D238" s="67">
        <f>'WARD DATA'!D454</f>
        <v>175214</v>
      </c>
      <c r="E238" s="96">
        <f>'WARD DATA'!D455</f>
        <v>0.7</v>
      </c>
      <c r="F238" s="67">
        <f>'WARD DATA'!E454</f>
        <v>17921</v>
      </c>
      <c r="G238" s="100">
        <f>'WARD DATA'!E455</f>
        <v>0.7</v>
      </c>
      <c r="H238" s="68">
        <f>'WARD DATA'!F454</f>
        <v>1047</v>
      </c>
      <c r="I238" s="96">
        <f>'WARD DATA'!F455</f>
        <v>1</v>
      </c>
      <c r="J238" s="75">
        <f>HLOOKUP($B$2,'WARD DATA'!$A$1:$AA$533,454,1)</f>
        <v>43</v>
      </c>
      <c r="K238" s="69">
        <f>HLOOKUP($B$2,'WARD DATA'!$A$1:$AA$533,455,1)</f>
        <v>0.7</v>
      </c>
      <c r="L238" s="61"/>
    </row>
    <row r="239" spans="1:12" hidden="1" x14ac:dyDescent="0.2">
      <c r="A239" s="28"/>
      <c r="B239" s="91" t="s">
        <v>143</v>
      </c>
      <c r="C239" s="66"/>
      <c r="D239" s="67">
        <f>'WARD DATA'!D456</f>
        <v>1931936</v>
      </c>
      <c r="E239" s="96">
        <f>'WARD DATA'!D457</f>
        <v>7.7</v>
      </c>
      <c r="F239" s="67">
        <f>'WARD DATA'!E456</f>
        <v>193645</v>
      </c>
      <c r="G239" s="100">
        <f>'WARD DATA'!E457</f>
        <v>8</v>
      </c>
      <c r="H239" s="68">
        <f>'WARD DATA'!F456</f>
        <v>11094</v>
      </c>
      <c r="I239" s="96">
        <f>'WARD DATA'!F457</f>
        <v>10.7</v>
      </c>
      <c r="J239" s="75">
        <f>HLOOKUP($B$2,'WARD DATA'!$A$1:$AA$533,456,1)</f>
        <v>482</v>
      </c>
      <c r="K239" s="69">
        <f>HLOOKUP($B$2,'WARD DATA'!$A$1:$AA$533,457,1)</f>
        <v>8.1999999999999993</v>
      </c>
      <c r="L239" s="61"/>
    </row>
    <row r="240" spans="1:12" ht="25.5" hidden="1" x14ac:dyDescent="0.2">
      <c r="A240" s="28"/>
      <c r="B240" s="91" t="s">
        <v>144</v>
      </c>
      <c r="C240" s="66"/>
      <c r="D240" s="67">
        <f>'WARD DATA'!D458</f>
        <v>4007570</v>
      </c>
      <c r="E240" s="96">
        <f>'WARD DATA'!D459</f>
        <v>15.9</v>
      </c>
      <c r="F240" s="67">
        <f>'WARD DATA'!E458</f>
        <v>409728</v>
      </c>
      <c r="G240" s="100">
        <f>'WARD DATA'!E459</f>
        <v>16.899999999999999</v>
      </c>
      <c r="H240" s="68">
        <f>'WARD DATA'!F458</f>
        <v>18143</v>
      </c>
      <c r="I240" s="96">
        <f>'WARD DATA'!F459</f>
        <v>17.5</v>
      </c>
      <c r="J240" s="75">
        <f>HLOOKUP($B$2,'WARD DATA'!$A$1:$AA$533,458,1)</f>
        <v>861</v>
      </c>
      <c r="K240" s="69">
        <f>HLOOKUP($B$2,'WARD DATA'!$A$1:$AA$533,459,1)</f>
        <v>14.7</v>
      </c>
      <c r="L240" s="61"/>
    </row>
    <row r="241" spans="1:12" hidden="1" x14ac:dyDescent="0.2">
      <c r="A241" s="28"/>
      <c r="B241" s="91" t="s">
        <v>145</v>
      </c>
      <c r="C241" s="66"/>
      <c r="D241" s="67">
        <f>'WARD DATA'!D460</f>
        <v>1260094</v>
      </c>
      <c r="E241" s="96">
        <f>'WARD DATA'!D461</f>
        <v>5</v>
      </c>
      <c r="F241" s="67">
        <f>'WARD DATA'!E460</f>
        <v>119806</v>
      </c>
      <c r="G241" s="100">
        <f>'WARD DATA'!E461</f>
        <v>4.9000000000000004</v>
      </c>
      <c r="H241" s="68">
        <f>'WARD DATA'!F460</f>
        <v>5220</v>
      </c>
      <c r="I241" s="96">
        <f>'WARD DATA'!F461</f>
        <v>5</v>
      </c>
      <c r="J241" s="75">
        <f>HLOOKUP($B$2,'WARD DATA'!$A$1:$AA$533,460,1)</f>
        <v>230</v>
      </c>
      <c r="K241" s="69">
        <f>HLOOKUP($B$2,'WARD DATA'!$A$1:$AA$533,461,1)</f>
        <v>3.9</v>
      </c>
      <c r="L241" s="61"/>
    </row>
    <row r="242" spans="1:12" hidden="1" x14ac:dyDescent="0.2">
      <c r="A242" s="28"/>
      <c r="B242" s="91" t="s">
        <v>146</v>
      </c>
      <c r="C242" s="66"/>
      <c r="D242" s="67">
        <f>'WARD DATA'!D462</f>
        <v>1399931</v>
      </c>
      <c r="E242" s="96">
        <f>'WARD DATA'!D463</f>
        <v>5.6</v>
      </c>
      <c r="F242" s="67">
        <f>'WARD DATA'!E462</f>
        <v>138567</v>
      </c>
      <c r="G242" s="100">
        <f>'WARD DATA'!E463</f>
        <v>5.7</v>
      </c>
      <c r="H242" s="68">
        <f>'WARD DATA'!F462</f>
        <v>4664</v>
      </c>
      <c r="I242" s="96">
        <f>'WARD DATA'!F463</f>
        <v>4.5</v>
      </c>
      <c r="J242" s="75">
        <f>HLOOKUP($B$2,'WARD DATA'!$A$1:$AA$533,462,1)</f>
        <v>265</v>
      </c>
      <c r="K242" s="69">
        <f>HLOOKUP($B$2,'WARD DATA'!$A$1:$AA$533,463,1)</f>
        <v>4.5</v>
      </c>
      <c r="L242" s="61"/>
    </row>
    <row r="243" spans="1:12" hidden="1" x14ac:dyDescent="0.2">
      <c r="A243" s="28"/>
      <c r="B243" s="91" t="s">
        <v>147</v>
      </c>
      <c r="C243" s="66"/>
      <c r="D243" s="67">
        <f>'WARD DATA'!D464</f>
        <v>1024352</v>
      </c>
      <c r="E243" s="96">
        <f>'WARD DATA'!D465</f>
        <v>4.0999999999999996</v>
      </c>
      <c r="F243" s="67">
        <f>'WARD DATA'!E464</f>
        <v>61646</v>
      </c>
      <c r="G243" s="100">
        <f>'WARD DATA'!E465</f>
        <v>2.5</v>
      </c>
      <c r="H243" s="68">
        <f>'WARD DATA'!F464</f>
        <v>2179</v>
      </c>
      <c r="I243" s="96">
        <f>'WARD DATA'!F465</f>
        <v>2.1</v>
      </c>
      <c r="J243" s="75">
        <f>HLOOKUP($B$2,'WARD DATA'!$A$1:$AA$533,464,1)</f>
        <v>156</v>
      </c>
      <c r="K243" s="69">
        <f>HLOOKUP($B$2,'WARD DATA'!$A$1:$AA$533,465,1)</f>
        <v>2.7</v>
      </c>
      <c r="L243" s="61"/>
    </row>
    <row r="244" spans="1:12" hidden="1" x14ac:dyDescent="0.2">
      <c r="A244" s="28"/>
      <c r="B244" s="91" t="s">
        <v>148</v>
      </c>
      <c r="C244" s="66"/>
      <c r="D244" s="67">
        <f>'WARD DATA'!D466</f>
        <v>1103858</v>
      </c>
      <c r="E244" s="96">
        <f>'WARD DATA'!D467</f>
        <v>4.4000000000000004</v>
      </c>
      <c r="F244" s="67">
        <f>'WARD DATA'!E466</f>
        <v>89939</v>
      </c>
      <c r="G244" s="100">
        <f>'WARD DATA'!E467</f>
        <v>3.7</v>
      </c>
      <c r="H244" s="68">
        <f>'WARD DATA'!F466</f>
        <v>2352</v>
      </c>
      <c r="I244" s="96">
        <f>'WARD DATA'!F467</f>
        <v>2.2999999999999998</v>
      </c>
      <c r="J244" s="75">
        <f>HLOOKUP($B$2,'WARD DATA'!$A$1:$AA$533,466,1)</f>
        <v>169</v>
      </c>
      <c r="K244" s="69">
        <f>HLOOKUP($B$2,'WARD DATA'!$A$1:$AA$533,467,1)</f>
        <v>2.9</v>
      </c>
      <c r="L244" s="61"/>
    </row>
    <row r="245" spans="1:12" hidden="1" x14ac:dyDescent="0.2">
      <c r="A245" s="28"/>
      <c r="B245" s="91" t="s">
        <v>149</v>
      </c>
      <c r="C245" s="66"/>
      <c r="D245" s="67">
        <f>'WARD DATA'!D468</f>
        <v>367459</v>
      </c>
      <c r="E245" s="96">
        <f>'WARD DATA'!D469</f>
        <v>1.5</v>
      </c>
      <c r="F245" s="67">
        <f>'WARD DATA'!E468</f>
        <v>28928</v>
      </c>
      <c r="G245" s="100">
        <f>'WARD DATA'!E469</f>
        <v>1.2</v>
      </c>
      <c r="H245" s="68">
        <f>'WARD DATA'!F468</f>
        <v>1174</v>
      </c>
      <c r="I245" s="96">
        <f>'WARD DATA'!F469</f>
        <v>1.1000000000000001</v>
      </c>
      <c r="J245" s="75">
        <f>HLOOKUP($B$2,'WARD DATA'!$A$1:$AA$533,468,1)</f>
        <v>63</v>
      </c>
      <c r="K245" s="69">
        <f>HLOOKUP($B$2,'WARD DATA'!$A$1:$AA$533,469,1)</f>
        <v>1.1000000000000001</v>
      </c>
      <c r="L245" s="61"/>
    </row>
    <row r="246" spans="1:12" hidden="1" x14ac:dyDescent="0.2">
      <c r="A246" s="28"/>
      <c r="B246" s="91" t="s">
        <v>150</v>
      </c>
      <c r="C246" s="66"/>
      <c r="D246" s="67">
        <f>'WARD DATA'!D470</f>
        <v>1687127</v>
      </c>
      <c r="E246" s="96">
        <f>'WARD DATA'!D471</f>
        <v>6.7</v>
      </c>
      <c r="F246" s="67">
        <f>'WARD DATA'!E470</f>
        <v>121813</v>
      </c>
      <c r="G246" s="100">
        <f>'WARD DATA'!E471</f>
        <v>5</v>
      </c>
      <c r="H246" s="68">
        <f>'WARD DATA'!F470</f>
        <v>3852</v>
      </c>
      <c r="I246" s="96">
        <f>'WARD DATA'!F471</f>
        <v>3.7</v>
      </c>
      <c r="J246" s="75">
        <f>HLOOKUP($B$2,'WARD DATA'!$A$1:$AA$533,470,1)</f>
        <v>300</v>
      </c>
      <c r="K246" s="69">
        <f>HLOOKUP($B$2,'WARD DATA'!$A$1:$AA$533,471,1)</f>
        <v>5.0999999999999996</v>
      </c>
      <c r="L246" s="61"/>
    </row>
    <row r="247" spans="1:12" hidden="1" x14ac:dyDescent="0.2">
      <c r="A247" s="28"/>
      <c r="B247" s="91" t="s">
        <v>151</v>
      </c>
      <c r="C247" s="66"/>
      <c r="D247" s="67">
        <f>'WARD DATA'!D472</f>
        <v>1239422</v>
      </c>
      <c r="E247" s="96">
        <f>'WARD DATA'!D473</f>
        <v>4.9000000000000004</v>
      </c>
      <c r="F247" s="67">
        <f>'WARD DATA'!E472</f>
        <v>110695</v>
      </c>
      <c r="G247" s="100">
        <f>'WARD DATA'!E473</f>
        <v>4.5999999999999996</v>
      </c>
      <c r="H247" s="68">
        <f>'WARD DATA'!F472</f>
        <v>5480</v>
      </c>
      <c r="I247" s="96">
        <f>'WARD DATA'!F473</f>
        <v>5.3</v>
      </c>
      <c r="J247" s="75">
        <f>HLOOKUP($B$2,'WARD DATA'!$A$1:$AA$533,472,1)</f>
        <v>228</v>
      </c>
      <c r="K247" s="69">
        <f>HLOOKUP($B$2,'WARD DATA'!$A$1:$AA$533,473,1)</f>
        <v>3.9</v>
      </c>
      <c r="L247" s="61"/>
    </row>
    <row r="248" spans="1:12" hidden="1" x14ac:dyDescent="0.2">
      <c r="A248" s="28"/>
      <c r="B248" s="91" t="s">
        <v>152</v>
      </c>
      <c r="C248" s="66"/>
      <c r="D248" s="67">
        <f>'WARD DATA'!D474</f>
        <v>1483450</v>
      </c>
      <c r="E248" s="96">
        <f>'WARD DATA'!D475</f>
        <v>5.9</v>
      </c>
      <c r="F248" s="67">
        <f>'WARD DATA'!E474</f>
        <v>143139</v>
      </c>
      <c r="G248" s="100">
        <f>'WARD DATA'!E475</f>
        <v>5.9</v>
      </c>
      <c r="H248" s="68">
        <f>'WARD DATA'!F474</f>
        <v>5948</v>
      </c>
      <c r="I248" s="96">
        <f>'WARD DATA'!F475</f>
        <v>5.7</v>
      </c>
      <c r="J248" s="75">
        <f>HLOOKUP($B$2,'WARD DATA'!$A$1:$AA$533,474,1)</f>
        <v>371</v>
      </c>
      <c r="K248" s="69">
        <f>HLOOKUP($B$2,'WARD DATA'!$A$1:$AA$533,475,1)</f>
        <v>6.3</v>
      </c>
      <c r="L248" s="61"/>
    </row>
    <row r="249" spans="1:12" hidden="1" x14ac:dyDescent="0.2">
      <c r="A249" s="28"/>
      <c r="B249" s="91" t="s">
        <v>153</v>
      </c>
      <c r="C249" s="66"/>
      <c r="D249" s="67">
        <f>'WARD DATA'!D476</f>
        <v>2490199</v>
      </c>
      <c r="E249" s="96">
        <f>'WARD DATA'!D477</f>
        <v>9.9</v>
      </c>
      <c r="F249" s="67">
        <f>'WARD DATA'!E476</f>
        <v>245151</v>
      </c>
      <c r="G249" s="100">
        <f>'WARD DATA'!E477</f>
        <v>10.1</v>
      </c>
      <c r="H249" s="68">
        <f>'WARD DATA'!F476</f>
        <v>9397</v>
      </c>
      <c r="I249" s="96">
        <f>'WARD DATA'!F477</f>
        <v>9.1</v>
      </c>
      <c r="J249" s="75">
        <f>HLOOKUP($B$2,'WARD DATA'!$A$1:$AA$533,476,1)</f>
        <v>778</v>
      </c>
      <c r="K249" s="69">
        <f>HLOOKUP($B$2,'WARD DATA'!$A$1:$AA$533,477,1)</f>
        <v>13.3</v>
      </c>
      <c r="L249" s="61"/>
    </row>
    <row r="250" spans="1:12" hidden="1" x14ac:dyDescent="0.2">
      <c r="A250" s="28"/>
      <c r="B250" s="91" t="s">
        <v>154</v>
      </c>
      <c r="C250" s="66"/>
      <c r="D250" s="67">
        <f>'WARD DATA'!D478</f>
        <v>3121238</v>
      </c>
      <c r="E250" s="96">
        <f>'WARD DATA'!D479</f>
        <v>12.4</v>
      </c>
      <c r="F250" s="67">
        <f>'WARD DATA'!E478</f>
        <v>324227</v>
      </c>
      <c r="G250" s="100">
        <f>'WARD DATA'!E479</f>
        <v>13.4</v>
      </c>
      <c r="H250" s="68">
        <f>'WARD DATA'!F478</f>
        <v>14209</v>
      </c>
      <c r="I250" s="96">
        <f>'WARD DATA'!F479</f>
        <v>13.7</v>
      </c>
      <c r="J250" s="75">
        <f>HLOOKUP($B$2,'WARD DATA'!$A$1:$AA$533,478,1)</f>
        <v>705</v>
      </c>
      <c r="K250" s="69">
        <f>HLOOKUP($B$2,'WARD DATA'!$A$1:$AA$533,479,1)</f>
        <v>12</v>
      </c>
      <c r="L250" s="61"/>
    </row>
    <row r="251" spans="1:12" hidden="1" x14ac:dyDescent="0.2">
      <c r="A251" s="29"/>
      <c r="B251" s="92" t="s">
        <v>155</v>
      </c>
      <c r="C251" s="70"/>
      <c r="D251" s="71">
        <f>'WARD DATA'!D480</f>
        <v>1257385</v>
      </c>
      <c r="E251" s="97">
        <f>'WARD DATA'!D481</f>
        <v>5</v>
      </c>
      <c r="F251" s="71">
        <f>'WARD DATA'!E480</f>
        <v>107517</v>
      </c>
      <c r="G251" s="101">
        <f>'WARD DATA'!E481</f>
        <v>4.4000000000000004</v>
      </c>
      <c r="H251" s="72">
        <f>'WARD DATA'!F480</f>
        <v>4284</v>
      </c>
      <c r="I251" s="97">
        <f>'WARD DATA'!F481</f>
        <v>4.0999999999999996</v>
      </c>
      <c r="J251" s="76">
        <f>HLOOKUP($B$2,'WARD DATA'!$A$1:$AA$533,480,1)</f>
        <v>276</v>
      </c>
      <c r="K251" s="73">
        <f>HLOOKUP($B$2,'WARD DATA'!$A$1:$AA$533,481,1)</f>
        <v>4.7</v>
      </c>
      <c r="L251" s="61"/>
    </row>
    <row r="252" spans="1:12" hidden="1" x14ac:dyDescent="0.2">
      <c r="A252" s="104"/>
      <c r="B252" s="91"/>
      <c r="D252" s="47"/>
      <c r="E252" s="96"/>
      <c r="F252" s="47"/>
      <c r="G252" s="100"/>
      <c r="H252" s="20"/>
      <c r="I252" s="96"/>
      <c r="J252" s="53"/>
      <c r="K252" s="69"/>
      <c r="L252" s="61"/>
    </row>
    <row r="253" spans="1:12" hidden="1" x14ac:dyDescent="0.2">
      <c r="A253" s="27" t="s">
        <v>345</v>
      </c>
      <c r="B253" s="93" t="s">
        <v>188</v>
      </c>
      <c r="C253" s="62"/>
      <c r="D253" s="63">
        <f>'WARD DATA'!D482</f>
        <v>38881374</v>
      </c>
      <c r="E253" s="95">
        <f>'WARD DATA'!D483</f>
        <v>100</v>
      </c>
      <c r="F253" s="63">
        <f>'WARD DATA'!E482</f>
        <v>3875219</v>
      </c>
      <c r="G253" s="99">
        <f>'WARD DATA'!E483</f>
        <v>100</v>
      </c>
      <c r="H253" s="64">
        <f>'WARD DATA'!F482</f>
        <v>170405</v>
      </c>
      <c r="I253" s="95">
        <f>'WARD DATA'!F483</f>
        <v>100</v>
      </c>
      <c r="J253" s="74">
        <f>HLOOKUP($B$2,'WARD DATA'!$A$1:$AA$533,482,1)</f>
        <v>8422</v>
      </c>
      <c r="K253" s="65">
        <f>HLOOKUP($B$2,'WARD DATA'!$A$1:$AA$533,483,1)</f>
        <v>100</v>
      </c>
      <c r="L253" s="61"/>
    </row>
    <row r="254" spans="1:12" hidden="1" x14ac:dyDescent="0.2">
      <c r="A254" s="28"/>
      <c r="B254" s="91" t="s">
        <v>189</v>
      </c>
      <c r="C254" s="66"/>
      <c r="D254" s="67">
        <f>'WARD DATA'!D484</f>
        <v>4045823</v>
      </c>
      <c r="E254" s="96">
        <f>'WARD DATA'!D485</f>
        <v>10.4</v>
      </c>
      <c r="F254" s="67">
        <f>'WARD DATA'!E484</f>
        <v>329084</v>
      </c>
      <c r="G254" s="100">
        <f>'WARD DATA'!E485</f>
        <v>8.5</v>
      </c>
      <c r="H254" s="68">
        <f>'WARD DATA'!F484</f>
        <v>10550</v>
      </c>
      <c r="I254" s="96">
        <f>'WARD DATA'!F485</f>
        <v>6.2</v>
      </c>
      <c r="J254" s="75">
        <f>HLOOKUP($B$2,'WARD DATA'!$A$1:$AA$533,484,1)</f>
        <v>988</v>
      </c>
      <c r="K254" s="69">
        <f>HLOOKUP($B$2,'WARD DATA'!$A$1:$AA$533,485,1)</f>
        <v>11.7</v>
      </c>
      <c r="L254" s="61"/>
    </row>
    <row r="255" spans="1:12" ht="25.5" hidden="1" x14ac:dyDescent="0.2">
      <c r="A255" s="28"/>
      <c r="B255" s="91" t="s">
        <v>190</v>
      </c>
      <c r="C255" s="66"/>
      <c r="D255" s="67">
        <f>'WARD DATA'!D486</f>
        <v>926352</v>
      </c>
      <c r="E255" s="96">
        <f>'WARD DATA'!D487</f>
        <v>2.4</v>
      </c>
      <c r="F255" s="67">
        <f>'WARD DATA'!E486</f>
        <v>81347</v>
      </c>
      <c r="G255" s="100">
        <f>'WARD DATA'!E487</f>
        <v>2.1</v>
      </c>
      <c r="H255" s="68">
        <f>'WARD DATA'!F486</f>
        <v>3178</v>
      </c>
      <c r="I255" s="96">
        <f>'WARD DATA'!F487</f>
        <v>1.9</v>
      </c>
      <c r="J255" s="75">
        <f>HLOOKUP($B$2,'WARD DATA'!$A$1:$AA$533,486,1)</f>
        <v>273</v>
      </c>
      <c r="K255" s="69">
        <f>HLOOKUP($B$2,'WARD DATA'!$A$1:$AA$533,487,1)</f>
        <v>3.2</v>
      </c>
      <c r="L255" s="61"/>
    </row>
    <row r="256" spans="1:12" hidden="1" x14ac:dyDescent="0.2">
      <c r="A256" s="28"/>
      <c r="B256" s="91" t="s">
        <v>191</v>
      </c>
      <c r="C256" s="66"/>
      <c r="D256" s="67">
        <f>'WARD DATA'!D488</f>
        <v>3119471</v>
      </c>
      <c r="E256" s="96">
        <f>'WARD DATA'!D489</f>
        <v>8</v>
      </c>
      <c r="F256" s="67">
        <f>'WARD DATA'!E488</f>
        <v>247737</v>
      </c>
      <c r="G256" s="100">
        <f>'WARD DATA'!E489</f>
        <v>6.4</v>
      </c>
      <c r="H256" s="68">
        <f>'WARD DATA'!F488</f>
        <v>7372</v>
      </c>
      <c r="I256" s="96">
        <f>'WARD DATA'!F489</f>
        <v>4.3</v>
      </c>
      <c r="J256" s="75">
        <f>HLOOKUP($B$2,'WARD DATA'!$A$1:$AA$533,488,1)</f>
        <v>715</v>
      </c>
      <c r="K256" s="69">
        <f>HLOOKUP($B$2,'WARD DATA'!$A$1:$AA$533,489,1)</f>
        <v>8.5</v>
      </c>
      <c r="L256" s="61"/>
    </row>
    <row r="257" spans="1:12" hidden="1" x14ac:dyDescent="0.2">
      <c r="A257" s="28"/>
      <c r="B257" s="91" t="s">
        <v>192</v>
      </c>
      <c r="C257" s="66"/>
      <c r="D257" s="67">
        <f>'WARD DATA'!D490</f>
        <v>8132107</v>
      </c>
      <c r="E257" s="96">
        <f>'WARD DATA'!D491</f>
        <v>20.9</v>
      </c>
      <c r="F257" s="67">
        <f>'WARD DATA'!E490</f>
        <v>730033</v>
      </c>
      <c r="G257" s="100">
        <f>'WARD DATA'!E491</f>
        <v>18.8</v>
      </c>
      <c r="H257" s="68">
        <f>'WARD DATA'!F490</f>
        <v>29139</v>
      </c>
      <c r="I257" s="96">
        <f>'WARD DATA'!F491</f>
        <v>17.100000000000001</v>
      </c>
      <c r="J257" s="75">
        <f>HLOOKUP($B$2,'WARD DATA'!$A$1:$AA$533,490,1)</f>
        <v>2055</v>
      </c>
      <c r="K257" s="69">
        <f>HLOOKUP($B$2,'WARD DATA'!$A$1:$AA$533,491,1)</f>
        <v>24.4</v>
      </c>
      <c r="L257" s="61"/>
    </row>
    <row r="258" spans="1:12" hidden="1" x14ac:dyDescent="0.2">
      <c r="A258" s="28"/>
      <c r="B258" s="91" t="s">
        <v>193</v>
      </c>
      <c r="C258" s="66"/>
      <c r="D258" s="67">
        <f>'WARD DATA'!D492</f>
        <v>4972044</v>
      </c>
      <c r="E258" s="96">
        <f>'WARD DATA'!D493</f>
        <v>12.8</v>
      </c>
      <c r="F258" s="67">
        <f>'WARD DATA'!E492</f>
        <v>472161</v>
      </c>
      <c r="G258" s="100">
        <f>'WARD DATA'!E493</f>
        <v>12.2</v>
      </c>
      <c r="H258" s="68">
        <f>'WARD DATA'!F492</f>
        <v>20618</v>
      </c>
      <c r="I258" s="96">
        <f>'WARD DATA'!F493</f>
        <v>12.1</v>
      </c>
      <c r="J258" s="75">
        <f>HLOOKUP($B$2,'WARD DATA'!$A$1:$AA$533,492,1)</f>
        <v>1062</v>
      </c>
      <c r="K258" s="69">
        <f>HLOOKUP($B$2,'WARD DATA'!$A$1:$AA$533,493,1)</f>
        <v>12.6</v>
      </c>
      <c r="L258" s="61"/>
    </row>
    <row r="259" spans="1:12" hidden="1" x14ac:dyDescent="0.2">
      <c r="A259" s="28"/>
      <c r="B259" s="91" t="s">
        <v>194</v>
      </c>
      <c r="C259" s="66"/>
      <c r="D259" s="67">
        <f>'WARD DATA'!D494</f>
        <v>3662611</v>
      </c>
      <c r="E259" s="96">
        <f>'WARD DATA'!D495</f>
        <v>9.4</v>
      </c>
      <c r="F259" s="67">
        <f>'WARD DATA'!E494</f>
        <v>339876</v>
      </c>
      <c r="G259" s="100">
        <f>'WARD DATA'!E495</f>
        <v>8.8000000000000007</v>
      </c>
      <c r="H259" s="68">
        <f>'WARD DATA'!F494</f>
        <v>14880</v>
      </c>
      <c r="I259" s="96">
        <f>'WARD DATA'!F495</f>
        <v>8.6999999999999993</v>
      </c>
      <c r="J259" s="75">
        <f>HLOOKUP($B$2,'WARD DATA'!$A$1:$AA$533,494,1)</f>
        <v>911</v>
      </c>
      <c r="K259" s="69">
        <f>HLOOKUP($B$2,'WARD DATA'!$A$1:$AA$533,495,1)</f>
        <v>10.8</v>
      </c>
      <c r="L259" s="61"/>
    </row>
    <row r="260" spans="1:12" hidden="1" x14ac:dyDescent="0.2">
      <c r="A260" s="28"/>
      <c r="B260" s="91" t="s">
        <v>195</v>
      </c>
      <c r="C260" s="66"/>
      <c r="D260" s="67">
        <f>'WARD DATA'!D496</f>
        <v>2676118</v>
      </c>
      <c r="E260" s="96">
        <f>'WARD DATA'!D497</f>
        <v>6.9</v>
      </c>
      <c r="F260" s="67">
        <f>'WARD DATA'!E496</f>
        <v>293094</v>
      </c>
      <c r="G260" s="100">
        <f>'WARD DATA'!E497</f>
        <v>7.6</v>
      </c>
      <c r="H260" s="68">
        <f>'WARD DATA'!F496</f>
        <v>14659</v>
      </c>
      <c r="I260" s="96">
        <f>'WARD DATA'!F497</f>
        <v>8.6</v>
      </c>
      <c r="J260" s="75">
        <f>HLOOKUP($B$2,'WARD DATA'!$A$1:$AA$533,496,1)</f>
        <v>580</v>
      </c>
      <c r="K260" s="69">
        <f>HLOOKUP($B$2,'WARD DATA'!$A$1:$AA$533,497,1)</f>
        <v>6.9</v>
      </c>
      <c r="L260" s="61"/>
    </row>
    <row r="261" spans="1:12" hidden="1" x14ac:dyDescent="0.2">
      <c r="A261" s="28"/>
      <c r="B261" s="91" t="s">
        <v>196</v>
      </c>
      <c r="C261" s="66"/>
      <c r="D261" s="67">
        <f>'WARD DATA'!D498</f>
        <v>5430863</v>
      </c>
      <c r="E261" s="96">
        <f>'WARD DATA'!D499</f>
        <v>14</v>
      </c>
      <c r="F261" s="67">
        <f>'WARD DATA'!E498</f>
        <v>591628</v>
      </c>
      <c r="G261" s="100">
        <f>'WARD DATA'!E499</f>
        <v>15.3</v>
      </c>
      <c r="H261" s="68">
        <f>'WARD DATA'!F498</f>
        <v>29435</v>
      </c>
      <c r="I261" s="96">
        <f>'WARD DATA'!F499</f>
        <v>17.3</v>
      </c>
      <c r="J261" s="75">
        <f>HLOOKUP($B$2,'WARD DATA'!$A$1:$AA$533,498,1)</f>
        <v>1118</v>
      </c>
      <c r="K261" s="69">
        <f>HLOOKUP($B$2,'WARD DATA'!$A$1:$AA$533,499,1)</f>
        <v>13.3</v>
      </c>
      <c r="L261" s="61"/>
    </row>
    <row r="262" spans="1:12" hidden="1" x14ac:dyDescent="0.2">
      <c r="A262" s="28"/>
      <c r="B262" s="91" t="s">
        <v>197</v>
      </c>
      <c r="C262" s="66"/>
      <c r="D262" s="67">
        <f>'WARD DATA'!D500</f>
        <v>4277483</v>
      </c>
      <c r="E262" s="96">
        <f>'WARD DATA'!D501</f>
        <v>11</v>
      </c>
      <c r="F262" s="67">
        <f>'WARD DATA'!E500</f>
        <v>516359</v>
      </c>
      <c r="G262" s="100">
        <f>'WARD DATA'!E501</f>
        <v>13.3</v>
      </c>
      <c r="H262" s="68">
        <f>'WARD DATA'!F500</f>
        <v>30588</v>
      </c>
      <c r="I262" s="96">
        <f>'WARD DATA'!F501</f>
        <v>18</v>
      </c>
      <c r="J262" s="75">
        <f>HLOOKUP($B$2,'WARD DATA'!$A$1:$AA$533,500,1)</f>
        <v>1011</v>
      </c>
      <c r="K262" s="69">
        <f>HLOOKUP($B$2,'WARD DATA'!$A$1:$AA$533,501,1)</f>
        <v>12</v>
      </c>
      <c r="L262" s="61"/>
    </row>
    <row r="263" spans="1:12" hidden="1" x14ac:dyDescent="0.2">
      <c r="A263" s="28"/>
      <c r="B263" s="91" t="s">
        <v>198</v>
      </c>
      <c r="C263" s="66"/>
      <c r="D263" s="67">
        <f>'WARD DATA'!D502</f>
        <v>2180026</v>
      </c>
      <c r="E263" s="96">
        <f>'WARD DATA'!D503</f>
        <v>5.6</v>
      </c>
      <c r="F263" s="67">
        <f>'WARD DATA'!E502</f>
        <v>244917</v>
      </c>
      <c r="G263" s="100">
        <f>'WARD DATA'!E503</f>
        <v>6.3</v>
      </c>
      <c r="H263" s="68">
        <f>'WARD DATA'!F502</f>
        <v>10725</v>
      </c>
      <c r="I263" s="96">
        <f>'WARD DATA'!F503</f>
        <v>6.3</v>
      </c>
      <c r="J263" s="75">
        <f>HLOOKUP($B$2,'WARD DATA'!$A$1:$AA$533,502,1)</f>
        <v>224</v>
      </c>
      <c r="K263" s="69">
        <f>HLOOKUP($B$2,'WARD DATA'!$A$1:$AA$533,503,1)</f>
        <v>2.7</v>
      </c>
      <c r="L263" s="61"/>
    </row>
    <row r="264" spans="1:12" hidden="1" x14ac:dyDescent="0.2">
      <c r="A264" s="28"/>
      <c r="B264" s="91" t="s">
        <v>199</v>
      </c>
      <c r="C264" s="66"/>
      <c r="D264" s="67">
        <f>'WARD DATA'!D504</f>
        <v>1511530</v>
      </c>
      <c r="E264" s="96">
        <f>'WARD DATA'!D505</f>
        <v>3.9</v>
      </c>
      <c r="F264" s="67">
        <f>'WARD DATA'!E504</f>
        <v>169804</v>
      </c>
      <c r="G264" s="100">
        <f>'WARD DATA'!E505</f>
        <v>4.4000000000000004</v>
      </c>
      <c r="H264" s="68">
        <f>'WARD DATA'!F504</f>
        <v>7148</v>
      </c>
      <c r="I264" s="96">
        <f>'WARD DATA'!F505</f>
        <v>4.2</v>
      </c>
      <c r="J264" s="75">
        <f>HLOOKUP($B$2,'WARD DATA'!$A$1:$AA$533,504,1)</f>
        <v>126</v>
      </c>
      <c r="K264" s="69">
        <f>HLOOKUP($B$2,'WARD DATA'!$A$1:$AA$533,505,1)</f>
        <v>1.5</v>
      </c>
      <c r="L264" s="61"/>
    </row>
    <row r="265" spans="1:12" hidden="1" x14ac:dyDescent="0.2">
      <c r="A265" s="28"/>
      <c r="B265" s="91" t="s">
        <v>200</v>
      </c>
      <c r="C265" s="66"/>
      <c r="D265" s="67">
        <f>'WARD DATA'!D506</f>
        <v>668496</v>
      </c>
      <c r="E265" s="96">
        <f>'WARD DATA'!D507</f>
        <v>1.7</v>
      </c>
      <c r="F265" s="67">
        <f>'WARD DATA'!E506</f>
        <v>75113</v>
      </c>
      <c r="G265" s="100">
        <f>'WARD DATA'!E507</f>
        <v>1.9</v>
      </c>
      <c r="H265" s="68">
        <f>'WARD DATA'!F506</f>
        <v>3577</v>
      </c>
      <c r="I265" s="96">
        <f>'WARD DATA'!F507</f>
        <v>2.1</v>
      </c>
      <c r="J265" s="75">
        <f>HLOOKUP($B$2,'WARD DATA'!$A$1:$AA$533,506,1)</f>
        <v>98</v>
      </c>
      <c r="K265" s="69">
        <f>HLOOKUP($B$2,'WARD DATA'!$A$1:$AA$533,507,1)</f>
        <v>1.2</v>
      </c>
      <c r="L265" s="61"/>
    </row>
    <row r="266" spans="1:12" hidden="1" x14ac:dyDescent="0.2">
      <c r="A266" s="28"/>
      <c r="B266" s="91" t="s">
        <v>201</v>
      </c>
      <c r="C266" s="66"/>
      <c r="D266" s="67">
        <f>'WARD DATA'!D508</f>
        <v>3504299</v>
      </c>
      <c r="E266" s="96">
        <f>'WARD DATA'!D509</f>
        <v>9</v>
      </c>
      <c r="F266" s="67">
        <f>'WARD DATA'!E508</f>
        <v>358067</v>
      </c>
      <c r="G266" s="100">
        <f>'WARD DATA'!E509</f>
        <v>9.1999999999999993</v>
      </c>
      <c r="H266" s="68">
        <f>'WARD DATA'!F508</f>
        <v>9811</v>
      </c>
      <c r="I266" s="96">
        <f>'WARD DATA'!F509</f>
        <v>5.8</v>
      </c>
      <c r="J266" s="75">
        <f>HLOOKUP($B$2,'WARD DATA'!$A$1:$AA$533,508,1)</f>
        <v>473</v>
      </c>
      <c r="K266" s="69">
        <f>HLOOKUP($B$2,'WARD DATA'!$A$1:$AA$533,509,1)</f>
        <v>5.6</v>
      </c>
      <c r="L266" s="61"/>
    </row>
    <row r="267" spans="1:12" hidden="1" x14ac:dyDescent="0.2">
      <c r="A267" s="28"/>
      <c r="B267" s="91" t="s">
        <v>202</v>
      </c>
      <c r="C267" s="66"/>
      <c r="D267" s="67">
        <f>'WARD DATA'!D510</f>
        <v>3504299</v>
      </c>
      <c r="E267" s="96">
        <f>'WARD DATA'!D511</f>
        <v>9</v>
      </c>
      <c r="F267" s="67">
        <f>'WARD DATA'!E510</f>
        <v>358067</v>
      </c>
      <c r="G267" s="100">
        <f>'WARD DATA'!E511</f>
        <v>9.1999999999999993</v>
      </c>
      <c r="H267" s="68">
        <f>'WARD DATA'!F510</f>
        <v>9811</v>
      </c>
      <c r="I267" s="96">
        <f>'WARD DATA'!F511</f>
        <v>5.8</v>
      </c>
      <c r="J267" s="75">
        <f>HLOOKUP($B$2,'WARD DATA'!$A$1:$AA$533,510,1)</f>
        <v>473</v>
      </c>
      <c r="K267" s="69">
        <f>HLOOKUP($B$2,'WARD DATA'!$A$1:$AA$533,511,1)</f>
        <v>5.6</v>
      </c>
      <c r="L267" s="61"/>
    </row>
    <row r="268" spans="1:12" hidden="1" x14ac:dyDescent="0.2">
      <c r="A268" s="29"/>
      <c r="B268" s="92" t="s">
        <v>203</v>
      </c>
      <c r="C268" s="70"/>
      <c r="D268" s="71">
        <f>'WARD DATA'!D512</f>
        <v>0</v>
      </c>
      <c r="E268" s="97">
        <f>'WARD DATA'!D513</f>
        <v>0</v>
      </c>
      <c r="F268" s="71">
        <f>'WARD DATA'!E512</f>
        <v>0</v>
      </c>
      <c r="G268" s="101">
        <f>'WARD DATA'!E513</f>
        <v>0</v>
      </c>
      <c r="H268" s="72">
        <f>'WARD DATA'!F512</f>
        <v>0</v>
      </c>
      <c r="I268" s="97">
        <f>'WARD DATA'!F513</f>
        <v>0</v>
      </c>
      <c r="J268" s="76">
        <f>HLOOKUP($B$2,'WARD DATA'!$A$1:$AA$533,512,1)</f>
        <v>0</v>
      </c>
      <c r="K268" s="73">
        <f>HLOOKUP($B$2,'WARD DATA'!$A$1:$AA$533,513,1)</f>
        <v>0</v>
      </c>
      <c r="L268" s="61"/>
    </row>
    <row r="269" spans="1:12" hidden="1" x14ac:dyDescent="0.2">
      <c r="A269" s="104"/>
      <c r="B269" s="91"/>
      <c r="D269" s="47"/>
      <c r="E269" s="96"/>
      <c r="F269" s="47"/>
      <c r="G269" s="100"/>
      <c r="H269" s="20"/>
      <c r="I269" s="96"/>
      <c r="J269" s="53"/>
      <c r="K269" s="69"/>
      <c r="L269" s="61"/>
    </row>
    <row r="270" spans="1:12" hidden="1" x14ac:dyDescent="0.2">
      <c r="A270" s="27" t="s">
        <v>240</v>
      </c>
      <c r="B270" s="93" t="s">
        <v>204</v>
      </c>
      <c r="C270" s="62"/>
      <c r="D270" s="63">
        <f>'WARD DATA'!D514</f>
        <v>25162721</v>
      </c>
      <c r="E270" s="95">
        <f>'WARD DATA'!D515</f>
        <v>100</v>
      </c>
      <c r="F270" s="63">
        <f>'WARD DATA'!E514</f>
        <v>2428074</v>
      </c>
      <c r="G270" s="99">
        <f>'WARD DATA'!E515</f>
        <v>100</v>
      </c>
      <c r="H270" s="64">
        <f>'WARD DATA'!F514</f>
        <v>103579</v>
      </c>
      <c r="I270" s="95">
        <f>'WARD DATA'!F515</f>
        <v>100</v>
      </c>
      <c r="J270" s="74">
        <f>HLOOKUP($B$2,'WARD DATA'!$A$1:$AA$533,514,1)</f>
        <v>5860</v>
      </c>
      <c r="K270" s="65">
        <f>HLOOKUP($B$2,'WARD DATA'!$A$1:$AA$533,515,1)</f>
        <v>100</v>
      </c>
      <c r="L270" s="61"/>
    </row>
    <row r="271" spans="1:12" hidden="1" x14ac:dyDescent="0.2">
      <c r="A271" s="28"/>
      <c r="B271" s="91" t="s">
        <v>205</v>
      </c>
      <c r="C271" s="66"/>
      <c r="D271" s="67">
        <f>'WARD DATA'!D516</f>
        <v>2734900</v>
      </c>
      <c r="E271" s="96">
        <f>'WARD DATA'!D517</f>
        <v>10.9</v>
      </c>
      <c r="F271" s="67">
        <f>'WARD DATA'!E516</f>
        <v>240292</v>
      </c>
      <c r="G271" s="100">
        <f>'WARD DATA'!E517</f>
        <v>9.9</v>
      </c>
      <c r="H271" s="68">
        <f>'WARD DATA'!F516</f>
        <v>9372</v>
      </c>
      <c r="I271" s="96">
        <f>'WARD DATA'!F517</f>
        <v>9</v>
      </c>
      <c r="J271" s="75">
        <f>HLOOKUP($B$2,'WARD DATA'!$A$1:$AA$533,516,1)</f>
        <v>722</v>
      </c>
      <c r="K271" s="69">
        <f>HLOOKUP($B$2,'WARD DATA'!$A$1:$AA$533,517,1)</f>
        <v>12.3</v>
      </c>
      <c r="L271" s="61"/>
    </row>
    <row r="272" spans="1:12" hidden="1" x14ac:dyDescent="0.2">
      <c r="A272" s="28"/>
      <c r="B272" s="91" t="s">
        <v>206</v>
      </c>
      <c r="C272" s="66"/>
      <c r="D272" s="67">
        <f>'WARD DATA'!D518</f>
        <v>4400375</v>
      </c>
      <c r="E272" s="96">
        <f>'WARD DATA'!D519</f>
        <v>17.5</v>
      </c>
      <c r="F272" s="67">
        <f>'WARD DATA'!E518</f>
        <v>374316</v>
      </c>
      <c r="G272" s="100">
        <f>'WARD DATA'!E519</f>
        <v>15.4</v>
      </c>
      <c r="H272" s="68">
        <f>'WARD DATA'!F518</f>
        <v>12836</v>
      </c>
      <c r="I272" s="96">
        <f>'WARD DATA'!F519</f>
        <v>12.4</v>
      </c>
      <c r="J272" s="75">
        <f>HLOOKUP($B$2,'WARD DATA'!$A$1:$AA$533,518,1)</f>
        <v>1145</v>
      </c>
      <c r="K272" s="69">
        <f>HLOOKUP($B$2,'WARD DATA'!$A$1:$AA$533,519,1)</f>
        <v>19.5</v>
      </c>
      <c r="L272" s="61"/>
    </row>
    <row r="273" spans="1:12" hidden="1" x14ac:dyDescent="0.2">
      <c r="A273" s="28"/>
      <c r="B273" s="91" t="s">
        <v>207</v>
      </c>
      <c r="C273" s="66"/>
      <c r="D273" s="67">
        <f>'WARD DATA'!D520</f>
        <v>3219067</v>
      </c>
      <c r="E273" s="96">
        <f>'WARD DATA'!D521</f>
        <v>12.8</v>
      </c>
      <c r="F273" s="67">
        <f>'WARD DATA'!E520</f>
        <v>277852</v>
      </c>
      <c r="G273" s="100">
        <f>'WARD DATA'!E521</f>
        <v>11.4</v>
      </c>
      <c r="H273" s="68">
        <f>'WARD DATA'!F520</f>
        <v>10260</v>
      </c>
      <c r="I273" s="96">
        <f>'WARD DATA'!F521</f>
        <v>9.9</v>
      </c>
      <c r="J273" s="75">
        <f>HLOOKUP($B$2,'WARD DATA'!$A$1:$AA$533,520,1)</f>
        <v>758</v>
      </c>
      <c r="K273" s="69">
        <f>HLOOKUP($B$2,'WARD DATA'!$A$1:$AA$533,521,1)</f>
        <v>12.9</v>
      </c>
      <c r="L273" s="61"/>
    </row>
    <row r="274" spans="1:12" hidden="1" x14ac:dyDescent="0.2">
      <c r="A274" s="28"/>
      <c r="B274" s="91" t="s">
        <v>208</v>
      </c>
      <c r="C274" s="66"/>
      <c r="D274" s="67">
        <f>'WARD DATA'!D522</f>
        <v>2883230</v>
      </c>
      <c r="E274" s="96">
        <f>'WARD DATA'!D523</f>
        <v>11.5</v>
      </c>
      <c r="F274" s="67">
        <f>'WARD DATA'!E522</f>
        <v>265208</v>
      </c>
      <c r="G274" s="100">
        <f>'WARD DATA'!E523</f>
        <v>10.9</v>
      </c>
      <c r="H274" s="68">
        <f>'WARD DATA'!F522</f>
        <v>10450</v>
      </c>
      <c r="I274" s="96">
        <f>'WARD DATA'!F523</f>
        <v>10.1</v>
      </c>
      <c r="J274" s="75">
        <f>HLOOKUP($B$2,'WARD DATA'!$A$1:$AA$533,522,1)</f>
        <v>622</v>
      </c>
      <c r="K274" s="69">
        <f>HLOOKUP($B$2,'WARD DATA'!$A$1:$AA$533,523,1)</f>
        <v>10.6</v>
      </c>
      <c r="L274" s="61"/>
    </row>
    <row r="275" spans="1:12" hidden="1" x14ac:dyDescent="0.2">
      <c r="A275" s="28"/>
      <c r="B275" s="91" t="s">
        <v>209</v>
      </c>
      <c r="C275" s="66"/>
      <c r="D275" s="67">
        <f>'WARD DATA'!D524</f>
        <v>2858680</v>
      </c>
      <c r="E275" s="96">
        <f>'WARD DATA'!D525</f>
        <v>11.4</v>
      </c>
      <c r="F275" s="67">
        <f>'WARD DATA'!E524</f>
        <v>298008</v>
      </c>
      <c r="G275" s="100">
        <f>'WARD DATA'!E525</f>
        <v>12.3</v>
      </c>
      <c r="H275" s="68">
        <f>'WARD DATA'!F524</f>
        <v>14242</v>
      </c>
      <c r="I275" s="96">
        <f>'WARD DATA'!F525</f>
        <v>13.7</v>
      </c>
      <c r="J275" s="75">
        <f>HLOOKUP($B$2,'WARD DATA'!$A$1:$AA$533,524,1)</f>
        <v>746</v>
      </c>
      <c r="K275" s="69">
        <f>HLOOKUP($B$2,'WARD DATA'!$A$1:$AA$533,525,1)</f>
        <v>12.7</v>
      </c>
      <c r="L275" s="61"/>
    </row>
    <row r="276" spans="1:12" hidden="1" x14ac:dyDescent="0.2">
      <c r="A276" s="28"/>
      <c r="B276" s="91" t="s">
        <v>210</v>
      </c>
      <c r="C276" s="66"/>
      <c r="D276" s="67">
        <f>'WARD DATA'!D526</f>
        <v>2348650</v>
      </c>
      <c r="E276" s="96">
        <f>'WARD DATA'!D527</f>
        <v>9.3000000000000007</v>
      </c>
      <c r="F276" s="67">
        <f>'WARD DATA'!E526</f>
        <v>234333</v>
      </c>
      <c r="G276" s="100">
        <f>'WARD DATA'!E527</f>
        <v>9.6999999999999993</v>
      </c>
      <c r="H276" s="68">
        <f>'WARD DATA'!F526</f>
        <v>10781</v>
      </c>
      <c r="I276" s="96">
        <f>'WARD DATA'!F527</f>
        <v>10.4</v>
      </c>
      <c r="J276" s="75">
        <f>HLOOKUP($B$2,'WARD DATA'!$A$1:$AA$533,526,1)</f>
        <v>457</v>
      </c>
      <c r="K276" s="69">
        <f>HLOOKUP($B$2,'WARD DATA'!$A$1:$AA$533,527,1)</f>
        <v>7.8</v>
      </c>
      <c r="L276" s="61"/>
    </row>
    <row r="277" spans="1:12" hidden="1" x14ac:dyDescent="0.2">
      <c r="A277" s="28"/>
      <c r="B277" s="91" t="s">
        <v>211</v>
      </c>
      <c r="C277" s="66"/>
      <c r="D277" s="67">
        <f>'WARD DATA'!D528</f>
        <v>2117477</v>
      </c>
      <c r="E277" s="96">
        <f>'WARD DATA'!D529</f>
        <v>8.4</v>
      </c>
      <c r="F277" s="67">
        <f>'WARD DATA'!E528</f>
        <v>220859</v>
      </c>
      <c r="G277" s="100">
        <f>'WARD DATA'!E529</f>
        <v>9.1</v>
      </c>
      <c r="H277" s="68">
        <f>'WARD DATA'!F528</f>
        <v>10870</v>
      </c>
      <c r="I277" s="96">
        <f>'WARD DATA'!F529</f>
        <v>10.5</v>
      </c>
      <c r="J277" s="75">
        <f>HLOOKUP($B$2,'WARD DATA'!$A$1:$AA$533,528,1)</f>
        <v>412</v>
      </c>
      <c r="K277" s="69">
        <f>HLOOKUP($B$2,'WARD DATA'!$A$1:$AA$533,529,1)</f>
        <v>7</v>
      </c>
      <c r="L277" s="61"/>
    </row>
    <row r="278" spans="1:12" hidden="1" x14ac:dyDescent="0.2">
      <c r="A278" s="28"/>
      <c r="B278" s="91" t="s">
        <v>212</v>
      </c>
      <c r="C278" s="66"/>
      <c r="D278" s="67">
        <f>'WARD DATA'!D530</f>
        <v>1808024</v>
      </c>
      <c r="E278" s="96">
        <f>'WARD DATA'!D531</f>
        <v>7.2</v>
      </c>
      <c r="F278" s="67">
        <f>'WARD DATA'!E530</f>
        <v>214439</v>
      </c>
      <c r="G278" s="100">
        <f>'WARD DATA'!E531</f>
        <v>8.8000000000000007</v>
      </c>
      <c r="H278" s="68">
        <f>'WARD DATA'!F530</f>
        <v>11291</v>
      </c>
      <c r="I278" s="96">
        <f>'WARD DATA'!F531</f>
        <v>10.9</v>
      </c>
      <c r="J278" s="75">
        <f>HLOOKUP($B$2,'WARD DATA'!$A$1:$AA$533,530,1)</f>
        <v>429</v>
      </c>
      <c r="K278" s="69">
        <f>HLOOKUP($B$2,'WARD DATA'!$A$1:$AA$533,531,1)</f>
        <v>7.3</v>
      </c>
      <c r="L278" s="61"/>
    </row>
    <row r="279" spans="1:12" hidden="1" x14ac:dyDescent="0.2">
      <c r="A279" s="29"/>
      <c r="B279" s="92" t="s">
        <v>213</v>
      </c>
      <c r="C279" s="70"/>
      <c r="D279" s="71">
        <f>'WARD DATA'!D532</f>
        <v>2792318</v>
      </c>
      <c r="E279" s="97">
        <f>'WARD DATA'!D533</f>
        <v>11.1</v>
      </c>
      <c r="F279" s="71">
        <f>'WARD DATA'!E532</f>
        <v>302767</v>
      </c>
      <c r="G279" s="101">
        <f>'WARD DATA'!E533</f>
        <v>12.5</v>
      </c>
      <c r="H279" s="72">
        <f>'WARD DATA'!F532</f>
        <v>13477</v>
      </c>
      <c r="I279" s="97">
        <f>'WARD DATA'!F533</f>
        <v>13</v>
      </c>
      <c r="J279" s="76">
        <f>HLOOKUP($B$2,'WARD DATA'!$A$1:$AA$552,532,1)</f>
        <v>569</v>
      </c>
      <c r="K279" s="73">
        <f>HLOOKUP($B$2,'WARD DATA'!$A$1:$AA$552,533,1)</f>
        <v>9.6999999999999993</v>
      </c>
      <c r="L279" s="61"/>
    </row>
    <row r="280" spans="1:12" hidden="1" x14ac:dyDescent="0.2">
      <c r="A280" s="104"/>
      <c r="B280" s="91"/>
      <c r="D280" s="47"/>
      <c r="E280" s="96"/>
      <c r="F280" s="47"/>
      <c r="G280" s="100"/>
      <c r="H280" s="20"/>
      <c r="I280" s="96"/>
      <c r="J280" s="53"/>
      <c r="K280" s="69"/>
      <c r="L280" s="61"/>
    </row>
    <row r="281" spans="1:12" hidden="1" x14ac:dyDescent="0.2">
      <c r="A281" s="27" t="s">
        <v>362</v>
      </c>
      <c r="B281" s="93" t="s">
        <v>361</v>
      </c>
      <c r="C281" s="62"/>
      <c r="D281" s="63">
        <f>'WARD DATA'!D534</f>
        <v>22063368</v>
      </c>
      <c r="E281" s="95">
        <f>'WARD DATA'!D535</f>
        <v>100</v>
      </c>
      <c r="F281" s="63">
        <f>'WARD DATA'!E534</f>
        <v>2224059</v>
      </c>
      <c r="G281" s="99">
        <f>'WARD DATA'!E535</f>
        <v>100</v>
      </c>
      <c r="H281" s="64">
        <f>'WARD DATA'!F534</f>
        <v>100734</v>
      </c>
      <c r="I281" s="95">
        <f>'WARD DATA'!F535</f>
        <v>100</v>
      </c>
      <c r="J281" s="74">
        <f>HLOOKUP($B$2,'WARD DATA'!$A$1:$AA$552,534,1)</f>
        <v>4878</v>
      </c>
      <c r="K281" s="65">
        <f>HLOOKUP($B$2,'WARD DATA'!$A$1:$AA$552,535,1)</f>
        <v>100</v>
      </c>
      <c r="L281" s="61"/>
    </row>
    <row r="282" spans="1:12" hidden="1" x14ac:dyDescent="0.2">
      <c r="A282" s="28" t="s">
        <v>363</v>
      </c>
      <c r="B282" s="91" t="s">
        <v>4</v>
      </c>
      <c r="C282" s="66"/>
      <c r="D282" s="67">
        <f>'WARD DATA'!D536</f>
        <v>7348649</v>
      </c>
      <c r="E282" s="96">
        <f>'WARD DATA'!D537</f>
        <v>33.299999999999997</v>
      </c>
      <c r="F282" s="67">
        <f>'WARD DATA'!E536</f>
        <v>788895</v>
      </c>
      <c r="G282" s="100">
        <f>'WARD DATA'!E537</f>
        <v>35.5</v>
      </c>
      <c r="H282" s="68">
        <f>'WARD DATA'!F536</f>
        <v>38675</v>
      </c>
      <c r="I282" s="96">
        <f>'WARD DATA'!F537</f>
        <v>38.4</v>
      </c>
      <c r="J282" s="75">
        <f>HLOOKUP($B$2,'WARD DATA'!$A$1:$AA$552,536,1)</f>
        <v>1516</v>
      </c>
      <c r="K282" s="69">
        <f>HLOOKUP($B$2,'WARD DATA'!$A$1:$AA$552,537,1)</f>
        <v>31.1</v>
      </c>
      <c r="L282" s="61"/>
    </row>
    <row r="283" spans="1:12" hidden="1" x14ac:dyDescent="0.2">
      <c r="A283" s="28"/>
      <c r="B283" s="91" t="s">
        <v>5</v>
      </c>
      <c r="C283" s="66"/>
      <c r="D283" s="67">
        <f>'WARD DATA'!D538</f>
        <v>922192</v>
      </c>
      <c r="E283" s="96">
        <f>'WARD DATA'!D539</f>
        <v>4.2</v>
      </c>
      <c r="F283" s="67">
        <f>'WARD DATA'!E538</f>
        <v>97434</v>
      </c>
      <c r="G283" s="100">
        <f>'WARD DATA'!E539</f>
        <v>4.4000000000000004</v>
      </c>
      <c r="H283" s="68">
        <f>'WARD DATA'!F538</f>
        <v>5303</v>
      </c>
      <c r="I283" s="96">
        <f>'WARD DATA'!F539</f>
        <v>5.3</v>
      </c>
      <c r="J283" s="75">
        <f>HLOOKUP($B$2,'WARD DATA'!$A$1:$AA$552,538,1)</f>
        <v>102</v>
      </c>
      <c r="K283" s="69">
        <f>HLOOKUP($B$2,'WARD DATA'!$A$1:$AA$552,539,1)</f>
        <v>2.1</v>
      </c>
      <c r="L283" s="61"/>
    </row>
    <row r="284" spans="1:12" hidden="1" x14ac:dyDescent="0.2">
      <c r="A284" s="28"/>
      <c r="B284" s="91" t="s">
        <v>6</v>
      </c>
      <c r="C284" s="66"/>
      <c r="D284" s="67">
        <f>'WARD DATA'!D540</f>
        <v>6426457</v>
      </c>
      <c r="E284" s="96">
        <f>'WARD DATA'!D541</f>
        <v>29.1</v>
      </c>
      <c r="F284" s="67">
        <f>'WARD DATA'!E540</f>
        <v>691461</v>
      </c>
      <c r="G284" s="100">
        <f>'WARD DATA'!E541</f>
        <v>31.1</v>
      </c>
      <c r="H284" s="68">
        <f>'WARD DATA'!F540</f>
        <v>33372</v>
      </c>
      <c r="I284" s="96">
        <f>'WARD DATA'!F541</f>
        <v>33.1</v>
      </c>
      <c r="J284" s="75">
        <f>HLOOKUP($B$2,'WARD DATA'!$A$1:$AA$552,540,1)</f>
        <v>1414</v>
      </c>
      <c r="K284" s="69">
        <f>HLOOKUP($B$2,'WARD DATA'!$A$1:$AA$552,541,1)</f>
        <v>29</v>
      </c>
      <c r="L284" s="61"/>
    </row>
    <row r="285" spans="1:12" hidden="1" x14ac:dyDescent="0.2">
      <c r="A285" s="28"/>
      <c r="B285" s="91" t="s">
        <v>7</v>
      </c>
      <c r="C285" s="66"/>
      <c r="D285" s="67">
        <f>'WARD DATA'!D542</f>
        <v>6425647</v>
      </c>
      <c r="E285" s="96">
        <f>'WARD DATA'!D543</f>
        <v>29.1</v>
      </c>
      <c r="F285" s="67">
        <f>'WARD DATA'!E542</f>
        <v>639616</v>
      </c>
      <c r="G285" s="100">
        <f>'WARD DATA'!E543</f>
        <v>28.8</v>
      </c>
      <c r="H285" s="68">
        <f>'WARD DATA'!F542</f>
        <v>29335</v>
      </c>
      <c r="I285" s="96">
        <f>'WARD DATA'!F543</f>
        <v>29.1</v>
      </c>
      <c r="J285" s="75">
        <f>HLOOKUP($B$2,'WARD DATA'!$A$1:$AA$552,542,1)</f>
        <v>1424</v>
      </c>
      <c r="K285" s="69">
        <f>HLOOKUP($B$2,'WARD DATA'!$A$1:$AA$552,543,1)</f>
        <v>29.2</v>
      </c>
      <c r="L285" s="61"/>
    </row>
    <row r="286" spans="1:12" hidden="1" x14ac:dyDescent="0.2">
      <c r="A286" s="28"/>
      <c r="B286" s="91" t="s">
        <v>8</v>
      </c>
      <c r="C286" s="66"/>
      <c r="D286" s="67">
        <f>'WARD DATA'!D544</f>
        <v>2606564</v>
      </c>
      <c r="E286" s="96">
        <f>'WARD DATA'!D545</f>
        <v>11.8</v>
      </c>
      <c r="F286" s="67">
        <f>'WARD DATA'!E544</f>
        <v>258036</v>
      </c>
      <c r="G286" s="100">
        <f>'WARD DATA'!E545</f>
        <v>11.6</v>
      </c>
      <c r="H286" s="68">
        <f>'WARD DATA'!F544</f>
        <v>11191</v>
      </c>
      <c r="I286" s="96">
        <f>'WARD DATA'!F545</f>
        <v>11.1</v>
      </c>
      <c r="J286" s="75">
        <f>HLOOKUP($B$2,'WARD DATA'!$A$1:$AA$552,544,1)</f>
        <v>510</v>
      </c>
      <c r="K286" s="69">
        <f>HLOOKUP($B$2,'WARD DATA'!$A$1:$AA$552,545,1)</f>
        <v>10.5</v>
      </c>
      <c r="L286" s="61"/>
    </row>
    <row r="287" spans="1:12" hidden="1" x14ac:dyDescent="0.2">
      <c r="A287" s="28"/>
      <c r="B287" s="91" t="s">
        <v>9</v>
      </c>
      <c r="C287" s="66"/>
      <c r="D287" s="67">
        <f>'WARD DATA'!D546</f>
        <v>5659606</v>
      </c>
      <c r="E287" s="96">
        <f>'WARD DATA'!D547</f>
        <v>25.7</v>
      </c>
      <c r="F287" s="67">
        <f>'WARD DATA'!E546</f>
        <v>593043</v>
      </c>
      <c r="G287" s="100">
        <f>'WARD DATA'!E547</f>
        <v>26.7</v>
      </c>
      <c r="H287" s="68">
        <f>'WARD DATA'!F546</f>
        <v>30992</v>
      </c>
      <c r="I287" s="96">
        <f>'WARD DATA'!F547</f>
        <v>30.8</v>
      </c>
      <c r="J287" s="75">
        <f>HLOOKUP($B$2,'WARD DATA'!$A$1:$AA$552,546,1)</f>
        <v>1234</v>
      </c>
      <c r="K287" s="69">
        <f>HLOOKUP($B$2,'WARD DATA'!$A$1:$AA$552,547,1)</f>
        <v>25.3</v>
      </c>
      <c r="L287" s="61"/>
    </row>
    <row r="288" spans="1:12" ht="25.5" hidden="1" x14ac:dyDescent="0.2">
      <c r="A288" s="28"/>
      <c r="B288" s="91" t="s">
        <v>10</v>
      </c>
      <c r="C288" s="66"/>
      <c r="D288" s="67">
        <f>'WARD DATA'!D548</f>
        <v>1019932</v>
      </c>
      <c r="E288" s="96">
        <f>'WARD DATA'!D549</f>
        <v>4.5999999999999996</v>
      </c>
      <c r="F288" s="67">
        <f>'WARD DATA'!E548</f>
        <v>102883</v>
      </c>
      <c r="G288" s="100">
        <f>'WARD DATA'!E549</f>
        <v>4.5999999999999996</v>
      </c>
      <c r="H288" s="68">
        <f>'WARD DATA'!F548</f>
        <v>5450</v>
      </c>
      <c r="I288" s="96">
        <f>'WARD DATA'!F549</f>
        <v>5.4</v>
      </c>
      <c r="J288" s="75">
        <f>HLOOKUP($B$2,'WARD DATA'!$A$1:$AA$552,548,1)</f>
        <v>193</v>
      </c>
      <c r="K288" s="69">
        <f>HLOOKUP($B$2,'WARD DATA'!$A$1:$AA$552,549,1)</f>
        <v>4</v>
      </c>
      <c r="L288" s="61"/>
    </row>
    <row r="289" spans="1:12" ht="25.5" hidden="1" x14ac:dyDescent="0.2">
      <c r="A289" s="29"/>
      <c r="B289" s="92" t="s">
        <v>11</v>
      </c>
      <c r="C289" s="70"/>
      <c r="D289" s="71">
        <f>'WARD DATA'!D550</f>
        <v>4639674</v>
      </c>
      <c r="E289" s="97">
        <f>'WARD DATA'!D551</f>
        <v>21</v>
      </c>
      <c r="F289" s="71">
        <f>'WARD DATA'!E550</f>
        <v>490160</v>
      </c>
      <c r="G289" s="101">
        <f>'WARD DATA'!E551</f>
        <v>22</v>
      </c>
      <c r="H289" s="72">
        <f>'WARD DATA'!F550</f>
        <v>25542</v>
      </c>
      <c r="I289" s="97">
        <f>'WARD DATA'!F551</f>
        <v>25.4</v>
      </c>
      <c r="J289" s="76">
        <f>HLOOKUP($B$2,'WARD DATA'!$A$1:$AA$552,550,1)</f>
        <v>1041</v>
      </c>
      <c r="K289" s="73">
        <f>HLOOKUP($B$2,'WARD DATA'!$A$1:$AA$552,551,1)</f>
        <v>21.3</v>
      </c>
      <c r="L289" s="61"/>
    </row>
    <row r="290" spans="1:12" hidden="1" x14ac:dyDescent="0.2"/>
    <row r="291" spans="1:12" hidden="1" x14ac:dyDescent="0.2">
      <c r="A291" s="123" t="s">
        <v>409</v>
      </c>
      <c r="B291" s="129" t="s">
        <v>396</v>
      </c>
      <c r="C291" s="62"/>
      <c r="D291" s="132">
        <f>'WARD DATA'!D552</f>
        <v>38881374</v>
      </c>
      <c r="E291" s="64">
        <f>'WARD DATA'!D553</f>
        <v>100</v>
      </c>
      <c r="F291" s="132">
        <f>'WARD DATA'!E552</f>
        <v>3875219</v>
      </c>
      <c r="G291" s="64">
        <f>'WARD DATA'!E553</f>
        <v>100</v>
      </c>
      <c r="H291" s="132">
        <f>'WARD DATA'!F552</f>
        <v>170405</v>
      </c>
      <c r="I291" s="64">
        <f>'WARD DATA'!F553</f>
        <v>100</v>
      </c>
      <c r="J291" s="135">
        <f>HLOOKUP($B$2,'WARD DATA'!$A$1:$AA$577,552,1)</f>
        <v>8422</v>
      </c>
      <c r="K291" s="124">
        <f>HLOOKUP($B$2,'WARD DATA'!$A$1:$AA$577,553,1)</f>
        <v>100</v>
      </c>
      <c r="L291" s="61"/>
    </row>
    <row r="292" spans="1:12" hidden="1" x14ac:dyDescent="0.2">
      <c r="A292" s="125"/>
      <c r="B292" s="130" t="s">
        <v>397</v>
      </c>
      <c r="C292" s="66"/>
      <c r="D292" s="133">
        <f>'WARD DATA'!D554</f>
        <v>1349568</v>
      </c>
      <c r="E292" s="126">
        <f>'WARD DATA'!D555</f>
        <v>3.4709884480934239</v>
      </c>
      <c r="F292" s="133">
        <f>'WARD DATA'!E554</f>
        <v>110962</v>
      </c>
      <c r="G292" s="126">
        <f>'WARD DATA'!E555</f>
        <v>2.863373657075897</v>
      </c>
      <c r="H292" s="133">
        <f>'WARD DATA'!F554</f>
        <v>3516</v>
      </c>
      <c r="I292" s="126">
        <f>'WARD DATA'!F555</f>
        <v>2.0633197382705908</v>
      </c>
      <c r="J292" s="136">
        <f>HLOOKUP($B$2,'WARD DATA'!$A$1:$AA$577,554,1)</f>
        <v>346</v>
      </c>
      <c r="K292" s="138">
        <f>HLOOKUP($B$2,'WARD DATA'!$A$1:$AA$577,555,1)</f>
        <v>4.1082878176205178</v>
      </c>
      <c r="L292" s="61"/>
    </row>
    <row r="293" spans="1:12" hidden="1" x14ac:dyDescent="0.2">
      <c r="A293" s="125"/>
      <c r="B293" s="130" t="s">
        <v>398</v>
      </c>
      <c r="C293" s="66"/>
      <c r="D293" s="133">
        <f>'WARD DATA'!D556</f>
        <v>1027625</v>
      </c>
      <c r="E293" s="126">
        <f>'WARD DATA'!D557</f>
        <v>2.6429750142060309</v>
      </c>
      <c r="F293" s="133">
        <f>'WARD DATA'!E556</f>
        <v>10716</v>
      </c>
      <c r="G293" s="126">
        <f>'WARD DATA'!E557</f>
        <v>0.27652630728740746</v>
      </c>
      <c r="H293" s="133">
        <f>'WARD DATA'!F556</f>
        <v>118</v>
      </c>
      <c r="I293" s="126">
        <f>'WARD DATA'!F557</f>
        <v>6.924679440157272E-2</v>
      </c>
      <c r="J293" s="136">
        <f>HLOOKUP($B$2,'WARD DATA'!$A$1:$AA$577,556,1)</f>
        <v>15</v>
      </c>
      <c r="K293" s="138">
        <f>HLOOKUP($B$2,'WARD DATA'!$A$1:$AA$577,557,1)</f>
        <v>0.17810496319164093</v>
      </c>
      <c r="L293" s="61"/>
    </row>
    <row r="294" spans="1:12" hidden="1" x14ac:dyDescent="0.2">
      <c r="A294" s="125"/>
      <c r="B294" s="130" t="s">
        <v>399</v>
      </c>
      <c r="C294" s="66"/>
      <c r="D294" s="133">
        <f>'WARD DATA'!D558</f>
        <v>1343684</v>
      </c>
      <c r="E294" s="126">
        <f>'WARD DATA'!D559</f>
        <v>3.4558552380376271</v>
      </c>
      <c r="F294" s="133">
        <f>'WARD DATA'!E558</f>
        <v>58307</v>
      </c>
      <c r="G294" s="126">
        <f>'WARD DATA'!E559</f>
        <v>1.5046117393623433</v>
      </c>
      <c r="H294" s="133">
        <f>'WARD DATA'!F558</f>
        <v>2094</v>
      </c>
      <c r="I294" s="126">
        <f>'WARD DATA'!F559</f>
        <v>1.2288371820075703</v>
      </c>
      <c r="J294" s="136">
        <f>HLOOKUP($B$2,'WARD DATA'!$A$1:$AA$577,558,1)</f>
        <v>130</v>
      </c>
      <c r="K294" s="138">
        <f>HLOOKUP($B$2,'WARD DATA'!$A$1:$AA$577,559,1)</f>
        <v>1.5435763476608881</v>
      </c>
      <c r="L294" s="61"/>
    </row>
    <row r="295" spans="1:12" hidden="1" x14ac:dyDescent="0.2">
      <c r="A295" s="125"/>
      <c r="B295" s="130" t="s">
        <v>400</v>
      </c>
      <c r="C295" s="66"/>
      <c r="D295" s="133">
        <f>'WARD DATA'!D560</f>
        <v>1886539</v>
      </c>
      <c r="E295" s="126">
        <f>'WARD DATA'!D561</f>
        <v>4.8520378935168287</v>
      </c>
      <c r="F295" s="133">
        <f>'WARD DATA'!E560</f>
        <v>207114</v>
      </c>
      <c r="G295" s="126">
        <f>'WARD DATA'!E561</f>
        <v>5.3445753646439078</v>
      </c>
      <c r="H295" s="133">
        <f>'WARD DATA'!F560</f>
        <v>6570</v>
      </c>
      <c r="I295" s="126">
        <f>'WARD DATA'!F561</f>
        <v>3.8555206713418033</v>
      </c>
      <c r="J295" s="136">
        <f>HLOOKUP($B$2,'WARD DATA'!$A$1:$AA$577,560,1)</f>
        <v>141</v>
      </c>
      <c r="K295" s="138">
        <f>HLOOKUP($B$2,'WARD DATA'!$A$1:$AA$577,561,1)</f>
        <v>1.674186654001425</v>
      </c>
      <c r="L295" s="61"/>
    </row>
    <row r="296" spans="1:12" hidden="1" x14ac:dyDescent="0.2">
      <c r="A296" s="125"/>
      <c r="B296" s="130" t="s">
        <v>401</v>
      </c>
      <c r="C296" s="66"/>
      <c r="D296" s="133">
        <f>'WARD DATA'!D562</f>
        <v>131465</v>
      </c>
      <c r="E296" s="126">
        <f>'WARD DATA'!D563</f>
        <v>0.33811819510287883</v>
      </c>
      <c r="F296" s="133">
        <f>'WARD DATA'!E562</f>
        <v>16432</v>
      </c>
      <c r="G296" s="126">
        <f>'WARD DATA'!E563</f>
        <v>0.42402764850192987</v>
      </c>
      <c r="H296" s="133">
        <f>'WARD DATA'!F562</f>
        <v>493</v>
      </c>
      <c r="I296" s="126">
        <f>'WARD DATA'!F563</f>
        <v>0.2893107596608081</v>
      </c>
      <c r="J296" s="136">
        <f>HLOOKUP($B$2,'WARD DATA'!$A$1:$AA$577,562,1)</f>
        <v>9</v>
      </c>
      <c r="K296" s="138">
        <f>HLOOKUP($B$2,'WARD DATA'!$A$1:$AA$577,563,1)</f>
        <v>0.10686297791498457</v>
      </c>
      <c r="L296" s="61"/>
    </row>
    <row r="297" spans="1:12" hidden="1" x14ac:dyDescent="0.2">
      <c r="A297" s="125"/>
      <c r="B297" s="130" t="s">
        <v>402</v>
      </c>
      <c r="C297" s="66"/>
      <c r="D297" s="133">
        <f>'WARD DATA'!D564</f>
        <v>206550</v>
      </c>
      <c r="E297" s="126">
        <f>'WARD DATA'!D565</f>
        <v>0.53123122655079014</v>
      </c>
      <c r="F297" s="133">
        <f>'WARD DATA'!E564</f>
        <v>16173</v>
      </c>
      <c r="G297" s="126">
        <f>'WARD DATA'!E565</f>
        <v>0.41734415525935437</v>
      </c>
      <c r="H297" s="133">
        <f>'WARD DATA'!F564</f>
        <v>843</v>
      </c>
      <c r="I297" s="126">
        <f>'WARD DATA'!F565</f>
        <v>0.49470379390276104</v>
      </c>
      <c r="J297" s="136">
        <f>HLOOKUP($B$2,'WARD DATA'!$A$1:$AA$577,564,1)</f>
        <v>44</v>
      </c>
      <c r="K297" s="138">
        <f>HLOOKUP($B$2,'WARD DATA'!$A$1:$AA$577,565,1)</f>
        <v>0.52244122536214677</v>
      </c>
      <c r="L297" s="61"/>
    </row>
    <row r="298" spans="1:12" hidden="1" x14ac:dyDescent="0.2">
      <c r="A298" s="125"/>
      <c r="B298" s="130" t="s">
        <v>403</v>
      </c>
      <c r="C298" s="66"/>
      <c r="D298" s="133">
        <f>'WARD DATA'!D566</f>
        <v>14345882</v>
      </c>
      <c r="E298" s="126">
        <f>'WARD DATA'!D567</f>
        <v>36.896540744676358</v>
      </c>
      <c r="F298" s="133">
        <f>'WARD DATA'!E566</f>
        <v>1490020</v>
      </c>
      <c r="G298" s="126">
        <f>'WARD DATA'!E567</f>
        <v>38.449955989584069</v>
      </c>
      <c r="H298" s="133">
        <f>'WARD DATA'!F566</f>
        <v>70743</v>
      </c>
      <c r="I298" s="126">
        <f>'WARD DATA'!F567</f>
        <v>41.514626918224231</v>
      </c>
      <c r="J298" s="136">
        <f>HLOOKUP($B$2,'WARD DATA'!$A$1:$AA$577,566,1)</f>
        <v>4249</v>
      </c>
      <c r="K298" s="138">
        <f>HLOOKUP($B$2,'WARD DATA'!$A$1:$AA$577,567,1)</f>
        <v>50.451199240085487</v>
      </c>
      <c r="L298" s="61"/>
    </row>
    <row r="299" spans="1:12" hidden="1" x14ac:dyDescent="0.2">
      <c r="A299" s="125"/>
      <c r="B299" s="130" t="s">
        <v>404</v>
      </c>
      <c r="C299" s="66"/>
      <c r="D299" s="133">
        <f>'WARD DATA'!D568</f>
        <v>1264553</v>
      </c>
      <c r="E299" s="126">
        <f>'WARD DATA'!D569</f>
        <v>3.2523361957321777</v>
      </c>
      <c r="F299" s="133">
        <f>'WARD DATA'!E568</f>
        <v>155856</v>
      </c>
      <c r="G299" s="126">
        <f>'WARD DATA'!E569</f>
        <v>4.0218630224511189</v>
      </c>
      <c r="H299" s="133">
        <f>'WARD DATA'!F568</f>
        <v>7660</v>
      </c>
      <c r="I299" s="126">
        <f>'WARD DATA'!F569</f>
        <v>4.4951732636953148</v>
      </c>
      <c r="J299" s="136">
        <f>HLOOKUP($B$2,'WARD DATA'!$A$1:$AA$577,568,1)</f>
        <v>294</v>
      </c>
      <c r="K299" s="138">
        <f>HLOOKUP($B$2,'WARD DATA'!$A$1:$AA$577,569,1)</f>
        <v>3.4908572785561622</v>
      </c>
      <c r="L299" s="61"/>
    </row>
    <row r="300" spans="1:12" hidden="1" x14ac:dyDescent="0.2">
      <c r="A300" s="125"/>
      <c r="B300" s="130" t="s">
        <v>405</v>
      </c>
      <c r="C300" s="66"/>
      <c r="D300" s="133">
        <f>'WARD DATA'!D570</f>
        <v>742675</v>
      </c>
      <c r="E300" s="126">
        <f>'WARD DATA'!D571</f>
        <v>1.9101048229416995</v>
      </c>
      <c r="F300" s="133">
        <f>'WARD DATA'!E570</f>
        <v>62119</v>
      </c>
      <c r="G300" s="126">
        <f>'WARD DATA'!E571</f>
        <v>1.6029803734963106</v>
      </c>
      <c r="H300" s="133">
        <f>'WARD DATA'!F570</f>
        <v>720</v>
      </c>
      <c r="I300" s="126">
        <f>'WARD DATA'!F571</f>
        <v>0.42252281329773184</v>
      </c>
      <c r="J300" s="136">
        <f>HLOOKUP($B$2,'WARD DATA'!$A$1:$AA$577,570,1)</f>
        <v>44</v>
      </c>
      <c r="K300" s="138">
        <f>HLOOKUP($B$2,'WARD DATA'!$A$1:$AA$577,571,1)</f>
        <v>0.52244122536214677</v>
      </c>
      <c r="L300" s="61"/>
    </row>
    <row r="301" spans="1:12" hidden="1" x14ac:dyDescent="0.2">
      <c r="A301" s="125"/>
      <c r="B301" s="130" t="s">
        <v>406</v>
      </c>
      <c r="C301" s="66"/>
      <c r="D301" s="133">
        <f>'WARD DATA'!D572</f>
        <v>2701453</v>
      </c>
      <c r="E301" s="126">
        <f>'WARD DATA'!D573</f>
        <v>6.9479360477332923</v>
      </c>
      <c r="F301" s="133">
        <f>'WARD DATA'!E572</f>
        <v>285542</v>
      </c>
      <c r="G301" s="126">
        <f>'WARD DATA'!E573</f>
        <v>7.3684093724767559</v>
      </c>
      <c r="H301" s="133">
        <f>'WARD DATA'!F572</f>
        <v>10349</v>
      </c>
      <c r="I301" s="126">
        <f>'WARD DATA'!F573</f>
        <v>6.0731786039142044</v>
      </c>
      <c r="J301" s="136">
        <f>HLOOKUP($B$2,'WARD DATA'!$A$1:$AA$577,572,1)</f>
        <v>561</v>
      </c>
      <c r="K301" s="138">
        <f>HLOOKUP($B$2,'WARD DATA'!$A$1:$AA$577,573,1)</f>
        <v>6.6611256233673712</v>
      </c>
      <c r="L301" s="61"/>
    </row>
    <row r="302" spans="1:12" hidden="1" x14ac:dyDescent="0.2">
      <c r="A302" s="125"/>
      <c r="B302" s="130" t="s">
        <v>407</v>
      </c>
      <c r="C302" s="66"/>
      <c r="D302" s="133">
        <f>'WARD DATA'!D574</f>
        <v>162727</v>
      </c>
      <c r="E302" s="126">
        <f>'WARD DATA'!D575</f>
        <v>0.41852173228240336</v>
      </c>
      <c r="F302" s="133">
        <f>'WARD DATA'!E574</f>
        <v>14833</v>
      </c>
      <c r="G302" s="126">
        <f>'WARD DATA'!E575</f>
        <v>0.38276546435182118</v>
      </c>
      <c r="H302" s="133">
        <f>'WARD DATA'!F574</f>
        <v>473</v>
      </c>
      <c r="I302" s="126">
        <f>'WARD DATA'!F575</f>
        <v>0.27757401484698219</v>
      </c>
      <c r="J302" s="136">
        <f>HLOOKUP($B$2,'WARD DATA'!$A$1:$AA$577,574,1)</f>
        <v>27</v>
      </c>
      <c r="K302" s="138">
        <f>HLOOKUP($B$2,'WARD DATA'!$A$1:$AA$577,575,1)</f>
        <v>0.32058893374495367</v>
      </c>
      <c r="L302" s="61"/>
    </row>
    <row r="303" spans="1:12" hidden="1" x14ac:dyDescent="0.2">
      <c r="A303" s="127"/>
      <c r="B303" s="131" t="s">
        <v>408</v>
      </c>
      <c r="C303" s="70"/>
      <c r="D303" s="134">
        <f>'WARD DATA'!D576</f>
        <v>13718653</v>
      </c>
      <c r="E303" s="128">
        <f>'WARD DATA'!D577</f>
        <v>35.283354441126491</v>
      </c>
      <c r="F303" s="134">
        <f>'WARD DATA'!E576</f>
        <v>1447145</v>
      </c>
      <c r="G303" s="128">
        <f>'WARD DATA'!E577</f>
        <v>37.343566905509086</v>
      </c>
      <c r="H303" s="134">
        <f>'WARD DATA'!F576</f>
        <v>66826</v>
      </c>
      <c r="I303" s="128">
        <f>'WARD DATA'!F577</f>
        <v>39.215985446436427</v>
      </c>
      <c r="J303" s="137">
        <f>HLOOKUP($B$2,'WARD DATA'!$A$1:$AA$577,576,1)</f>
        <v>2562</v>
      </c>
      <c r="K303" s="139">
        <f>HLOOKUP($B$2,'WARD DATA'!$A$1:$AA$577,577,1)</f>
        <v>30.420327713132274</v>
      </c>
      <c r="L303" s="61"/>
    </row>
    <row r="304" spans="1:12" hidden="1" x14ac:dyDescent="0.2"/>
    <row r="305" spans="1:11" ht="123" hidden="1" customHeight="1" x14ac:dyDescent="0.2">
      <c r="A305" s="26" t="s">
        <v>410</v>
      </c>
      <c r="B305" s="203" t="s">
        <v>417</v>
      </c>
      <c r="C305" s="196"/>
      <c r="D305" s="196"/>
      <c r="E305" s="196"/>
      <c r="F305" s="196"/>
      <c r="G305" s="196"/>
      <c r="H305" s="196"/>
      <c r="I305" s="196"/>
      <c r="J305" s="196"/>
      <c r="K305" s="197"/>
    </row>
    <row r="306" spans="1:11" hidden="1" x14ac:dyDescent="0.2">
      <c r="B306" s="140"/>
    </row>
    <row r="307" spans="1:11" ht="25.5" hidden="1" customHeight="1" x14ac:dyDescent="0.2">
      <c r="B307" s="202" t="s">
        <v>411</v>
      </c>
      <c r="C307" s="196"/>
      <c r="D307" s="196"/>
      <c r="E307" s="196"/>
      <c r="F307" s="196"/>
      <c r="G307" s="196"/>
      <c r="H307" s="196"/>
      <c r="I307" s="196"/>
      <c r="J307" s="196"/>
      <c r="K307" s="197"/>
    </row>
    <row r="308" spans="1:11" ht="39.75" hidden="1" customHeight="1" x14ac:dyDescent="0.2">
      <c r="B308" s="195" t="s">
        <v>412</v>
      </c>
      <c r="C308" s="196"/>
      <c r="D308" s="196"/>
      <c r="E308" s="196"/>
      <c r="F308" s="196"/>
      <c r="G308" s="196"/>
      <c r="H308" s="196"/>
      <c r="I308" s="196"/>
      <c r="J308" s="196"/>
      <c r="K308" s="197"/>
    </row>
    <row r="309" spans="1:11" ht="39.75" hidden="1" customHeight="1" x14ac:dyDescent="0.2">
      <c r="B309" s="195" t="s">
        <v>413</v>
      </c>
      <c r="C309" s="196"/>
      <c r="D309" s="196"/>
      <c r="E309" s="196"/>
      <c r="F309" s="196"/>
      <c r="G309" s="196"/>
      <c r="H309" s="196"/>
      <c r="I309" s="196"/>
      <c r="J309" s="196"/>
      <c r="K309" s="197"/>
    </row>
    <row r="310" spans="1:11" ht="43.5" hidden="1" customHeight="1" x14ac:dyDescent="0.2">
      <c r="B310" s="195" t="s">
        <v>414</v>
      </c>
      <c r="C310" s="196"/>
      <c r="D310" s="196"/>
      <c r="E310" s="196"/>
      <c r="F310" s="196"/>
      <c r="G310" s="196"/>
      <c r="H310" s="196"/>
      <c r="I310" s="196"/>
      <c r="J310" s="196"/>
      <c r="K310" s="197"/>
    </row>
    <row r="311" spans="1:11" hidden="1" x14ac:dyDescent="0.2">
      <c r="B311" s="202" t="s">
        <v>415</v>
      </c>
      <c r="C311" s="196"/>
      <c r="D311" s="196"/>
      <c r="E311" s="196"/>
      <c r="F311" s="196"/>
      <c r="G311" s="196"/>
      <c r="H311" s="196"/>
      <c r="I311" s="196"/>
      <c r="J311" s="196"/>
      <c r="K311" s="197"/>
    </row>
    <row r="312" spans="1:11" hidden="1" x14ac:dyDescent="0.2"/>
    <row r="313" spans="1:11" ht="105.75" hidden="1" customHeight="1" x14ac:dyDescent="0.2">
      <c r="B313" s="202" t="s">
        <v>416</v>
      </c>
      <c r="C313" s="196"/>
      <c r="D313" s="196"/>
      <c r="E313" s="196"/>
      <c r="F313" s="196"/>
      <c r="G313" s="196"/>
      <c r="H313" s="196"/>
      <c r="I313" s="196"/>
      <c r="J313" s="196"/>
      <c r="K313" s="197"/>
    </row>
    <row r="314" spans="1:11" hidden="1" x14ac:dyDescent="0.2"/>
    <row r="315" spans="1:11" hidden="1" x14ac:dyDescent="0.2">
      <c r="B315" s="207" t="s">
        <v>418</v>
      </c>
      <c r="C315" s="205"/>
      <c r="D315" s="205"/>
      <c r="E315" s="205"/>
      <c r="F315" s="205"/>
      <c r="G315" s="205"/>
      <c r="H315" s="205"/>
      <c r="I315" s="205"/>
      <c r="J315" s="205"/>
      <c r="K315" s="206"/>
    </row>
    <row r="316" spans="1:11" ht="27.75" hidden="1" customHeight="1" x14ac:dyDescent="0.2">
      <c r="B316" s="204" t="s">
        <v>419</v>
      </c>
      <c r="C316" s="205"/>
      <c r="D316" s="205"/>
      <c r="E316" s="205"/>
      <c r="F316" s="205"/>
      <c r="G316" s="205"/>
      <c r="H316" s="205"/>
      <c r="I316" s="205"/>
      <c r="J316" s="205"/>
      <c r="K316" s="206"/>
    </row>
    <row r="317" spans="1:11" hidden="1" x14ac:dyDescent="0.2">
      <c r="B317" s="141"/>
    </row>
    <row r="318" spans="1:11" hidden="1" x14ac:dyDescent="0.2">
      <c r="B318" s="143" t="s">
        <v>420</v>
      </c>
    </row>
    <row r="319" spans="1:11" ht="25.5" hidden="1" customHeight="1" x14ac:dyDescent="0.2">
      <c r="B319" s="204" t="s">
        <v>421</v>
      </c>
      <c r="C319" s="205"/>
      <c r="D319" s="205"/>
      <c r="E319" s="205"/>
      <c r="F319" s="205"/>
      <c r="G319" s="205"/>
      <c r="H319" s="205"/>
      <c r="I319" s="205"/>
      <c r="J319" s="205"/>
      <c r="K319" s="206"/>
    </row>
    <row r="320" spans="1:11" hidden="1" x14ac:dyDescent="0.2">
      <c r="B320" s="142"/>
    </row>
    <row r="321" spans="2:11" hidden="1" x14ac:dyDescent="0.2">
      <c r="B321" s="143" t="s">
        <v>422</v>
      </c>
    </row>
    <row r="322" spans="2:11" ht="102" hidden="1" customHeight="1" x14ac:dyDescent="0.2">
      <c r="B322" s="202" t="s">
        <v>423</v>
      </c>
      <c r="C322" s="202"/>
      <c r="D322" s="202"/>
      <c r="E322" s="202"/>
      <c r="F322" s="202"/>
      <c r="G322" s="208"/>
      <c r="H322" s="202"/>
      <c r="I322" s="202"/>
      <c r="J322" s="209"/>
      <c r="K322" s="210"/>
    </row>
    <row r="323" spans="2:11" hidden="1" x14ac:dyDescent="0.2">
      <c r="B323" s="141"/>
    </row>
    <row r="324" spans="2:11" hidden="1" x14ac:dyDescent="0.2">
      <c r="B324" s="38" t="s">
        <v>424</v>
      </c>
    </row>
    <row r="325" spans="2:11" ht="51.75" hidden="1" customHeight="1" x14ac:dyDescent="0.2">
      <c r="B325" s="211" t="s">
        <v>425</v>
      </c>
      <c r="C325" s="205"/>
      <c r="D325" s="205"/>
      <c r="E325" s="205"/>
      <c r="F325" s="205"/>
      <c r="G325" s="205"/>
      <c r="H325" s="205"/>
      <c r="I325" s="205"/>
      <c r="J325" s="205"/>
      <c r="K325" s="206"/>
    </row>
    <row r="326" spans="2:11" hidden="1" x14ac:dyDescent="0.2"/>
    <row r="327" spans="2:11" hidden="1" x14ac:dyDescent="0.2">
      <c r="B327" s="143" t="s">
        <v>426</v>
      </c>
    </row>
    <row r="328" spans="2:11" ht="90" hidden="1" customHeight="1" x14ac:dyDescent="0.2">
      <c r="B328" s="204" t="s">
        <v>427</v>
      </c>
      <c r="C328" s="205"/>
      <c r="D328" s="205"/>
      <c r="E328" s="205"/>
      <c r="F328" s="205"/>
      <c r="G328" s="205"/>
      <c r="H328" s="205"/>
      <c r="I328" s="205"/>
      <c r="J328" s="205"/>
      <c r="K328" s="206"/>
    </row>
  </sheetData>
  <autoFilter ref="B1:B289" xr:uid="{00000000-0009-0000-0000-000002000000}"/>
  <mergeCells count="15">
    <mergeCell ref="B310:K310"/>
    <mergeCell ref="B311:K311"/>
    <mergeCell ref="B313:K313"/>
    <mergeCell ref="B328:K328"/>
    <mergeCell ref="B315:K315"/>
    <mergeCell ref="B316:K316"/>
    <mergeCell ref="B319:K319"/>
    <mergeCell ref="B322:K322"/>
    <mergeCell ref="B325:K325"/>
    <mergeCell ref="B309:K309"/>
    <mergeCell ref="A3:B3"/>
    <mergeCell ref="D3:K3"/>
    <mergeCell ref="B307:K307"/>
    <mergeCell ref="B308:K308"/>
    <mergeCell ref="B305:K305"/>
  </mergeCells>
  <phoneticPr fontId="1" type="noConversion"/>
  <dataValidations xWindow="503" yWindow="142" count="2">
    <dataValidation type="list" allowBlank="1" showInputMessage="1" showErrorMessage="1" errorTitle="INVALID SELECTION" error="You have not selected a valid entry!" promptTitle="WARD SELECTION" prompt="Select Ward from drop down menu" sqref="M6:M26" xr:uid="{00000000-0002-0000-0200-000000000000}">
      <formula1>$M$6:$M$26</formula1>
    </dataValidation>
    <dataValidation type="list" errorStyle="warning" allowBlank="1" showInputMessage="1" showErrorMessage="1" errorTitle="INVALID SELECTION" error="You have not selected a valid ward entry from the drop down list!" promptTitle="WARD SELECTION" prompt="Select Ward from drop down list" sqref="B2" xr:uid="{00000000-0002-0000-0200-000001000000}">
      <formula1>$M$6:$M$26</formula1>
    </dataValidation>
  </dataValidations>
  <pageMargins left="0.74803149606299213" right="0.74803149606299213" top="0.98425196850393704" bottom="0.98425196850393704" header="0.51181102362204722" footer="0.51181102362204722"/>
  <pageSetup paperSize="9" orientation="landscape" horizontalDpi="1200" verticalDpi="1200" r:id="rId1"/>
  <headerFooter alignWithMargins="0"/>
  <rowBreaks count="11" manualBreakCount="11">
    <brk id="2" max="16383" man="1"/>
    <brk id="58" max="16383" man="1"/>
    <brk id="79" max="16383" man="1"/>
    <brk id="104" max="16383" man="1"/>
    <brk id="123" max="16383" man="1"/>
    <brk id="134" max="16383" man="1"/>
    <brk id="149" max="16383" man="1"/>
    <brk id="175" max="16383" man="1"/>
    <brk id="199" max="16383" man="1"/>
    <brk id="226" max="16383" man="1"/>
    <brk id="252"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55"/>
  <sheetViews>
    <sheetView topLeftCell="A12" workbookViewId="0">
      <selection activeCell="H53" sqref="H53"/>
    </sheetView>
  </sheetViews>
  <sheetFormatPr defaultRowHeight="12.75" x14ac:dyDescent="0.2"/>
  <sheetData>
    <row r="1" spans="1:27" s="3" customFormat="1" ht="51" x14ac:dyDescent="0.2">
      <c r="B1" s="14" t="s">
        <v>0</v>
      </c>
      <c r="D1" s="38" t="s">
        <v>58</v>
      </c>
      <c r="E1" s="38" t="s">
        <v>321</v>
      </c>
      <c r="F1" s="38" t="s">
        <v>322</v>
      </c>
      <c r="G1" s="4" t="s">
        <v>277</v>
      </c>
      <c r="H1" s="4" t="s">
        <v>278</v>
      </c>
      <c r="I1" s="4" t="s">
        <v>279</v>
      </c>
      <c r="J1" s="4" t="s">
        <v>280</v>
      </c>
      <c r="K1" s="4" t="s">
        <v>281</v>
      </c>
      <c r="L1" s="4" t="s">
        <v>282</v>
      </c>
      <c r="M1" s="4" t="s">
        <v>283</v>
      </c>
      <c r="N1" s="4" t="s">
        <v>284</v>
      </c>
      <c r="O1" s="4" t="s">
        <v>285</v>
      </c>
      <c r="P1" s="4" t="s">
        <v>286</v>
      </c>
      <c r="Q1" s="4" t="s">
        <v>287</v>
      </c>
      <c r="R1" s="4" t="s">
        <v>288</v>
      </c>
      <c r="S1" s="4" t="s">
        <v>289</v>
      </c>
      <c r="T1" s="4" t="s">
        <v>290</v>
      </c>
      <c r="U1" s="4" t="s">
        <v>291</v>
      </c>
      <c r="V1" s="4" t="s">
        <v>292</v>
      </c>
      <c r="W1" s="4" t="s">
        <v>293</v>
      </c>
      <c r="X1" s="4" t="s">
        <v>294</v>
      </c>
      <c r="Y1" s="4" t="s">
        <v>295</v>
      </c>
      <c r="Z1" s="4" t="s">
        <v>296</v>
      </c>
      <c r="AA1" s="4" t="s">
        <v>297</v>
      </c>
    </row>
    <row r="2" spans="1:27" s="5" customFormat="1" x14ac:dyDescent="0.2">
      <c r="A2" s="5" t="s">
        <v>32</v>
      </c>
      <c r="B2" s="190" t="s">
        <v>13</v>
      </c>
      <c r="C2" s="15" t="s">
        <v>2</v>
      </c>
      <c r="D2" s="39">
        <v>3318449</v>
      </c>
      <c r="E2" s="39">
        <v>328447</v>
      </c>
      <c r="F2" s="39">
        <v>13957</v>
      </c>
      <c r="G2" s="6">
        <v>680</v>
      </c>
      <c r="H2" s="6">
        <v>746</v>
      </c>
      <c r="I2" s="6">
        <v>661</v>
      </c>
      <c r="J2" s="6">
        <v>589</v>
      </c>
      <c r="K2" s="6">
        <v>534</v>
      </c>
      <c r="L2" s="6">
        <v>714</v>
      </c>
      <c r="M2" s="6">
        <v>872</v>
      </c>
      <c r="N2" s="6">
        <v>458</v>
      </c>
      <c r="O2" s="6">
        <v>735</v>
      </c>
      <c r="P2" s="6">
        <v>794</v>
      </c>
      <c r="Q2" s="6">
        <v>650</v>
      </c>
      <c r="R2" s="6">
        <v>847</v>
      </c>
      <c r="S2" s="6">
        <v>663</v>
      </c>
      <c r="T2" s="6">
        <v>522</v>
      </c>
      <c r="U2" s="6">
        <v>642</v>
      </c>
      <c r="V2" s="6">
        <v>589</v>
      </c>
      <c r="W2" s="6">
        <v>584</v>
      </c>
      <c r="X2" s="6">
        <v>692</v>
      </c>
      <c r="Y2" s="6">
        <v>742</v>
      </c>
      <c r="Z2" s="6">
        <v>698</v>
      </c>
      <c r="AA2" s="6">
        <v>545</v>
      </c>
    </row>
    <row r="3" spans="1:27" s="5" customFormat="1" x14ac:dyDescent="0.2">
      <c r="B3" s="191"/>
      <c r="C3" s="15" t="s">
        <v>3</v>
      </c>
      <c r="D3" s="39">
        <v>6.3</v>
      </c>
      <c r="E3" s="39">
        <v>6.2</v>
      </c>
      <c r="F3" s="39">
        <v>6</v>
      </c>
      <c r="G3" s="7">
        <v>6.1</v>
      </c>
      <c r="H3" s="7">
        <v>6.8</v>
      </c>
      <c r="I3" s="7">
        <v>6.2</v>
      </c>
      <c r="J3" s="7">
        <v>5.5</v>
      </c>
      <c r="K3" s="7">
        <v>5</v>
      </c>
      <c r="L3" s="7">
        <v>6.8</v>
      </c>
      <c r="M3" s="7">
        <v>7.3</v>
      </c>
      <c r="N3" s="7">
        <v>4.7</v>
      </c>
      <c r="O3" s="7">
        <v>6.2</v>
      </c>
      <c r="P3" s="7">
        <v>7.4</v>
      </c>
      <c r="Q3" s="7">
        <v>6</v>
      </c>
      <c r="R3" s="7">
        <v>6.4</v>
      </c>
      <c r="S3" s="7">
        <v>6.1</v>
      </c>
      <c r="T3" s="7">
        <v>4.5</v>
      </c>
      <c r="U3" s="7">
        <v>5.7</v>
      </c>
      <c r="V3" s="7">
        <v>5.3</v>
      </c>
      <c r="W3" s="7">
        <v>5.4</v>
      </c>
      <c r="X3" s="7">
        <v>6.8</v>
      </c>
      <c r="Y3" s="7">
        <v>6.4</v>
      </c>
      <c r="Z3" s="7">
        <v>6.1</v>
      </c>
      <c r="AA3" s="7">
        <v>5.6</v>
      </c>
    </row>
    <row r="4" spans="1:27" s="5" customFormat="1" x14ac:dyDescent="0.2">
      <c r="B4" s="190" t="s">
        <v>14</v>
      </c>
      <c r="C4" s="15" t="s">
        <v>2</v>
      </c>
      <c r="D4" s="39">
        <v>1827610</v>
      </c>
      <c r="E4" s="39">
        <v>182818</v>
      </c>
      <c r="F4" s="39">
        <v>7798</v>
      </c>
      <c r="G4" s="6">
        <v>324</v>
      </c>
      <c r="H4" s="6">
        <v>406</v>
      </c>
      <c r="I4" s="6">
        <v>342</v>
      </c>
      <c r="J4" s="6">
        <v>372</v>
      </c>
      <c r="K4" s="6">
        <v>350</v>
      </c>
      <c r="L4" s="6">
        <v>377</v>
      </c>
      <c r="M4" s="6">
        <v>428</v>
      </c>
      <c r="N4" s="6">
        <v>242</v>
      </c>
      <c r="O4" s="6">
        <v>419</v>
      </c>
      <c r="P4" s="6">
        <v>340</v>
      </c>
      <c r="Q4" s="6">
        <v>348</v>
      </c>
      <c r="R4" s="6">
        <v>477</v>
      </c>
      <c r="S4" s="6">
        <v>368</v>
      </c>
      <c r="T4" s="6">
        <v>403</v>
      </c>
      <c r="U4" s="6">
        <v>351</v>
      </c>
      <c r="V4" s="6">
        <v>355</v>
      </c>
      <c r="W4" s="6">
        <v>375</v>
      </c>
      <c r="X4" s="6">
        <v>423</v>
      </c>
      <c r="Y4" s="6">
        <v>372</v>
      </c>
      <c r="Z4" s="6">
        <v>396</v>
      </c>
      <c r="AA4" s="6">
        <v>330</v>
      </c>
    </row>
    <row r="5" spans="1:27" s="5" customFormat="1" x14ac:dyDescent="0.2">
      <c r="B5" s="191"/>
      <c r="C5" s="15" t="s">
        <v>3</v>
      </c>
      <c r="D5" s="39">
        <v>3.4</v>
      </c>
      <c r="E5" s="44">
        <v>3.5</v>
      </c>
      <c r="F5" s="39">
        <v>3.4</v>
      </c>
      <c r="G5" s="7">
        <v>2.9</v>
      </c>
      <c r="H5" s="7">
        <v>3.7</v>
      </c>
      <c r="I5" s="7">
        <v>3.2</v>
      </c>
      <c r="J5" s="7">
        <v>3.5</v>
      </c>
      <c r="K5" s="7">
        <v>3.3</v>
      </c>
      <c r="L5" s="7">
        <v>3.6</v>
      </c>
      <c r="M5" s="7">
        <v>3.6</v>
      </c>
      <c r="N5" s="7">
        <v>2.5</v>
      </c>
      <c r="O5" s="7">
        <v>3.5</v>
      </c>
      <c r="P5" s="7">
        <v>3.2</v>
      </c>
      <c r="Q5" s="7">
        <v>3.2</v>
      </c>
      <c r="R5" s="7">
        <v>3.6</v>
      </c>
      <c r="S5" s="7">
        <v>3.4</v>
      </c>
      <c r="T5" s="7">
        <v>3.5</v>
      </c>
      <c r="U5" s="7">
        <v>3.1</v>
      </c>
      <c r="V5" s="7">
        <v>3.2</v>
      </c>
      <c r="W5" s="7">
        <v>3.5</v>
      </c>
      <c r="X5" s="7">
        <v>4.0999999999999996</v>
      </c>
      <c r="Y5" s="7">
        <v>3.2</v>
      </c>
      <c r="Z5" s="7">
        <v>3.5</v>
      </c>
      <c r="AA5" s="7">
        <v>3.4</v>
      </c>
    </row>
    <row r="6" spans="1:27" s="5" customFormat="1" x14ac:dyDescent="0.2">
      <c r="B6" s="190" t="s">
        <v>15</v>
      </c>
      <c r="C6" s="15" t="s">
        <v>2</v>
      </c>
      <c r="D6" s="39">
        <v>1145022</v>
      </c>
      <c r="E6" s="39">
        <v>114657</v>
      </c>
      <c r="F6" s="39">
        <v>4764</v>
      </c>
      <c r="G6" s="6">
        <v>177</v>
      </c>
      <c r="H6" s="6">
        <v>227</v>
      </c>
      <c r="I6" s="6">
        <v>262</v>
      </c>
      <c r="J6" s="6">
        <v>218</v>
      </c>
      <c r="K6" s="6">
        <v>210</v>
      </c>
      <c r="L6" s="6">
        <v>239</v>
      </c>
      <c r="M6" s="6">
        <v>270</v>
      </c>
      <c r="N6" s="6">
        <v>161</v>
      </c>
      <c r="O6" s="6">
        <v>226</v>
      </c>
      <c r="P6" s="6">
        <v>194</v>
      </c>
      <c r="Q6" s="6">
        <v>213</v>
      </c>
      <c r="R6" s="6">
        <v>274</v>
      </c>
      <c r="S6" s="6">
        <v>205</v>
      </c>
      <c r="T6" s="6">
        <v>216</v>
      </c>
      <c r="U6" s="6">
        <v>232</v>
      </c>
      <c r="V6" s="6">
        <v>215</v>
      </c>
      <c r="W6" s="6">
        <v>266</v>
      </c>
      <c r="X6" s="6">
        <v>272</v>
      </c>
      <c r="Y6" s="6">
        <v>250</v>
      </c>
      <c r="Z6" s="6">
        <v>250</v>
      </c>
      <c r="AA6" s="6">
        <v>187</v>
      </c>
    </row>
    <row r="7" spans="1:27" s="5" customFormat="1" x14ac:dyDescent="0.2">
      <c r="B7" s="191"/>
      <c r="C7" s="15" t="s">
        <v>3</v>
      </c>
      <c r="D7" s="39">
        <v>2.2000000000000002</v>
      </c>
      <c r="E7" s="39">
        <v>2.2000000000000002</v>
      </c>
      <c r="F7" s="39">
        <v>2.1</v>
      </c>
      <c r="G7" s="7">
        <v>1.6</v>
      </c>
      <c r="H7" s="7">
        <v>2.1</v>
      </c>
      <c r="I7" s="7">
        <v>2.5</v>
      </c>
      <c r="J7" s="7">
        <v>2</v>
      </c>
      <c r="K7" s="7">
        <v>2</v>
      </c>
      <c r="L7" s="7">
        <v>2.2999999999999998</v>
      </c>
      <c r="M7" s="7">
        <v>2.2999999999999998</v>
      </c>
      <c r="N7" s="7">
        <v>1.6</v>
      </c>
      <c r="O7" s="7">
        <v>1.9</v>
      </c>
      <c r="P7" s="7">
        <v>1.8</v>
      </c>
      <c r="Q7" s="7">
        <v>2</v>
      </c>
      <c r="R7" s="7">
        <v>2.1</v>
      </c>
      <c r="S7" s="7">
        <v>1.9</v>
      </c>
      <c r="T7" s="7">
        <v>1.9</v>
      </c>
      <c r="U7" s="7">
        <v>2</v>
      </c>
      <c r="V7" s="7">
        <v>1.9</v>
      </c>
      <c r="W7" s="7">
        <v>2.5</v>
      </c>
      <c r="X7" s="7">
        <v>2.7</v>
      </c>
      <c r="Y7" s="7">
        <v>2.2000000000000002</v>
      </c>
      <c r="Z7" s="7">
        <v>2.2000000000000002</v>
      </c>
      <c r="AA7" s="7">
        <v>1.9</v>
      </c>
    </row>
    <row r="8" spans="1:27" s="5" customFormat="1" x14ac:dyDescent="0.2">
      <c r="B8" s="190" t="s">
        <v>16</v>
      </c>
      <c r="C8" s="15" t="s">
        <v>2</v>
      </c>
      <c r="D8" s="39">
        <v>3080929</v>
      </c>
      <c r="E8" s="39">
        <v>306096</v>
      </c>
      <c r="F8" s="39">
        <v>13378</v>
      </c>
      <c r="G8" s="6">
        <v>537</v>
      </c>
      <c r="H8" s="6">
        <v>703</v>
      </c>
      <c r="I8" s="6">
        <v>626</v>
      </c>
      <c r="J8" s="6">
        <v>616</v>
      </c>
      <c r="K8" s="6">
        <v>618</v>
      </c>
      <c r="L8" s="6">
        <v>582</v>
      </c>
      <c r="M8" s="6">
        <v>710</v>
      </c>
      <c r="N8" s="6">
        <v>516</v>
      </c>
      <c r="O8" s="6">
        <v>715</v>
      </c>
      <c r="P8" s="6">
        <v>536</v>
      </c>
      <c r="Q8" s="6">
        <v>593</v>
      </c>
      <c r="R8" s="6">
        <v>847</v>
      </c>
      <c r="S8" s="6">
        <v>613</v>
      </c>
      <c r="T8" s="6">
        <v>684</v>
      </c>
      <c r="U8" s="6">
        <v>669</v>
      </c>
      <c r="V8" s="6">
        <v>626</v>
      </c>
      <c r="W8" s="6">
        <v>645</v>
      </c>
      <c r="X8" s="6">
        <v>669</v>
      </c>
      <c r="Y8" s="6">
        <v>608</v>
      </c>
      <c r="Z8" s="6">
        <v>724</v>
      </c>
      <c r="AA8" s="6">
        <v>541</v>
      </c>
    </row>
    <row r="9" spans="1:27" s="5" customFormat="1" x14ac:dyDescent="0.2">
      <c r="B9" s="191"/>
      <c r="C9" s="15" t="s">
        <v>3</v>
      </c>
      <c r="D9" s="39">
        <v>5.8</v>
      </c>
      <c r="E9" s="39">
        <v>5.8</v>
      </c>
      <c r="F9" s="39">
        <v>5.8</v>
      </c>
      <c r="G9" s="7">
        <v>4.8</v>
      </c>
      <c r="H9" s="7">
        <v>6.4</v>
      </c>
      <c r="I9" s="7">
        <v>5.9</v>
      </c>
      <c r="J9" s="7">
        <v>5.8</v>
      </c>
      <c r="K9" s="7">
        <v>5.8</v>
      </c>
      <c r="L9" s="7">
        <v>5.5</v>
      </c>
      <c r="M9" s="7">
        <v>6</v>
      </c>
      <c r="N9" s="7">
        <v>5.3</v>
      </c>
      <c r="O9" s="7">
        <v>6</v>
      </c>
      <c r="P9" s="7">
        <v>5</v>
      </c>
      <c r="Q9" s="7">
        <v>5.5</v>
      </c>
      <c r="R9" s="7">
        <v>6.4</v>
      </c>
      <c r="S9" s="7">
        <v>5.7</v>
      </c>
      <c r="T9" s="7">
        <v>5.9</v>
      </c>
      <c r="U9" s="7">
        <v>5.9</v>
      </c>
      <c r="V9" s="7">
        <v>5.7</v>
      </c>
      <c r="W9" s="7">
        <v>6</v>
      </c>
      <c r="X9" s="7">
        <v>6.5</v>
      </c>
      <c r="Y9" s="7">
        <v>5.3</v>
      </c>
      <c r="Z9" s="7">
        <v>6.3</v>
      </c>
      <c r="AA9" s="7">
        <v>5.6</v>
      </c>
    </row>
    <row r="10" spans="1:27" s="5" customFormat="1" x14ac:dyDescent="0.2">
      <c r="B10" s="190" t="s">
        <v>17</v>
      </c>
      <c r="C10" s="15" t="s">
        <v>2</v>
      </c>
      <c r="D10" s="39">
        <v>650826</v>
      </c>
      <c r="E10" s="39">
        <v>65774</v>
      </c>
      <c r="F10" s="39">
        <v>2989</v>
      </c>
      <c r="G10" s="6">
        <v>129</v>
      </c>
      <c r="H10" s="6">
        <v>147</v>
      </c>
      <c r="I10" s="6">
        <v>138</v>
      </c>
      <c r="J10" s="6">
        <v>127</v>
      </c>
      <c r="K10" s="6">
        <v>143</v>
      </c>
      <c r="L10" s="6">
        <v>154</v>
      </c>
      <c r="M10" s="6">
        <v>156</v>
      </c>
      <c r="N10" s="6">
        <v>110</v>
      </c>
      <c r="O10" s="6">
        <v>151</v>
      </c>
      <c r="P10" s="6">
        <v>169</v>
      </c>
      <c r="Q10" s="6">
        <v>117</v>
      </c>
      <c r="R10" s="6">
        <v>184</v>
      </c>
      <c r="S10" s="6">
        <v>133</v>
      </c>
      <c r="T10" s="6">
        <v>151</v>
      </c>
      <c r="U10" s="6">
        <v>148</v>
      </c>
      <c r="V10" s="6">
        <v>133</v>
      </c>
      <c r="W10" s="6">
        <v>155</v>
      </c>
      <c r="X10" s="6">
        <v>152</v>
      </c>
      <c r="Y10" s="6">
        <v>127</v>
      </c>
      <c r="Z10" s="6">
        <v>144</v>
      </c>
      <c r="AA10" s="6">
        <v>121</v>
      </c>
    </row>
    <row r="11" spans="1:27" s="5" customFormat="1" x14ac:dyDescent="0.2">
      <c r="B11" s="191"/>
      <c r="C11" s="15" t="s">
        <v>3</v>
      </c>
      <c r="D11" s="39">
        <v>1.2</v>
      </c>
      <c r="E11" s="39">
        <v>1.2</v>
      </c>
      <c r="F11" s="39">
        <v>1.3</v>
      </c>
      <c r="G11" s="7">
        <v>1.2</v>
      </c>
      <c r="H11" s="7">
        <v>1.3</v>
      </c>
      <c r="I11" s="7">
        <v>1.3</v>
      </c>
      <c r="J11" s="7">
        <v>1.2</v>
      </c>
      <c r="K11" s="7">
        <v>1.3</v>
      </c>
      <c r="L11" s="7">
        <v>1.5</v>
      </c>
      <c r="M11" s="7">
        <v>1.3</v>
      </c>
      <c r="N11" s="7">
        <v>1.1000000000000001</v>
      </c>
      <c r="O11" s="7">
        <v>1.3</v>
      </c>
      <c r="P11" s="7">
        <v>1.6</v>
      </c>
      <c r="Q11" s="7">
        <v>1.1000000000000001</v>
      </c>
      <c r="R11" s="7">
        <v>1.4</v>
      </c>
      <c r="S11" s="7">
        <v>1.2</v>
      </c>
      <c r="T11" s="7">
        <v>1.3</v>
      </c>
      <c r="U11" s="7">
        <v>1.3</v>
      </c>
      <c r="V11" s="7">
        <v>1.2</v>
      </c>
      <c r="W11" s="7">
        <v>1.4</v>
      </c>
      <c r="X11" s="7">
        <v>1.5</v>
      </c>
      <c r="Y11" s="7">
        <v>1.1000000000000001</v>
      </c>
      <c r="Z11" s="7">
        <v>1.3</v>
      </c>
      <c r="AA11" s="7">
        <v>1.2</v>
      </c>
    </row>
    <row r="12" spans="1:27" s="5" customFormat="1" x14ac:dyDescent="0.2">
      <c r="B12" s="190" t="s">
        <v>18</v>
      </c>
      <c r="C12" s="15" t="s">
        <v>2</v>
      </c>
      <c r="D12" s="39">
        <v>1314124</v>
      </c>
      <c r="E12" s="39">
        <v>130943</v>
      </c>
      <c r="F12" s="39">
        <v>5804</v>
      </c>
      <c r="G12" s="6">
        <v>230</v>
      </c>
      <c r="H12" s="6">
        <v>321</v>
      </c>
      <c r="I12" s="6">
        <v>272</v>
      </c>
      <c r="J12" s="6">
        <v>239</v>
      </c>
      <c r="K12" s="6">
        <v>264</v>
      </c>
      <c r="L12" s="6">
        <v>253</v>
      </c>
      <c r="M12" s="6">
        <v>334</v>
      </c>
      <c r="N12" s="6">
        <v>251</v>
      </c>
      <c r="O12" s="6">
        <v>291</v>
      </c>
      <c r="P12" s="6">
        <v>230</v>
      </c>
      <c r="Q12" s="6">
        <v>254</v>
      </c>
      <c r="R12" s="6">
        <v>360</v>
      </c>
      <c r="S12" s="6">
        <v>279</v>
      </c>
      <c r="T12" s="6">
        <v>268</v>
      </c>
      <c r="U12" s="6">
        <v>296</v>
      </c>
      <c r="V12" s="6">
        <v>267</v>
      </c>
      <c r="W12" s="6">
        <v>274</v>
      </c>
      <c r="X12" s="6">
        <v>303</v>
      </c>
      <c r="Y12" s="6">
        <v>302</v>
      </c>
      <c r="Z12" s="6">
        <v>273</v>
      </c>
      <c r="AA12" s="6">
        <v>243</v>
      </c>
    </row>
    <row r="13" spans="1:27" s="5" customFormat="1" x14ac:dyDescent="0.2">
      <c r="B13" s="191"/>
      <c r="C13" s="15" t="s">
        <v>3</v>
      </c>
      <c r="D13" s="39">
        <v>2.5</v>
      </c>
      <c r="E13" s="39">
        <v>2.5</v>
      </c>
      <c r="F13" s="39">
        <v>2.5</v>
      </c>
      <c r="G13" s="7">
        <v>2.1</v>
      </c>
      <c r="H13" s="7">
        <v>2.9</v>
      </c>
      <c r="I13" s="7">
        <v>2.5</v>
      </c>
      <c r="J13" s="7">
        <v>2.2000000000000002</v>
      </c>
      <c r="K13" s="7">
        <v>2.5</v>
      </c>
      <c r="L13" s="7">
        <v>2.4</v>
      </c>
      <c r="M13" s="7">
        <v>2.8</v>
      </c>
      <c r="N13" s="7">
        <v>2.6</v>
      </c>
      <c r="O13" s="7">
        <v>2.5</v>
      </c>
      <c r="P13" s="7">
        <v>2.2000000000000002</v>
      </c>
      <c r="Q13" s="7">
        <v>2.4</v>
      </c>
      <c r="R13" s="7">
        <v>2.7</v>
      </c>
      <c r="S13" s="7">
        <v>2.6</v>
      </c>
      <c r="T13" s="7">
        <v>2.2999999999999998</v>
      </c>
      <c r="U13" s="7">
        <v>2.6</v>
      </c>
      <c r="V13" s="7">
        <v>2.4</v>
      </c>
      <c r="W13" s="7">
        <v>2.6</v>
      </c>
      <c r="X13" s="7">
        <v>3</v>
      </c>
      <c r="Y13" s="7">
        <v>2.6</v>
      </c>
      <c r="Z13" s="7">
        <v>2.4</v>
      </c>
      <c r="AA13" s="7">
        <v>2.5</v>
      </c>
    </row>
    <row r="14" spans="1:27" s="5" customFormat="1" x14ac:dyDescent="0.2">
      <c r="B14" s="190" t="s">
        <v>19</v>
      </c>
      <c r="C14" s="15" t="s">
        <v>2</v>
      </c>
      <c r="D14" s="39">
        <v>1375315</v>
      </c>
      <c r="E14" s="39">
        <v>151928</v>
      </c>
      <c r="F14" s="39">
        <v>5597</v>
      </c>
      <c r="G14" s="6">
        <v>301</v>
      </c>
      <c r="H14" s="6">
        <v>265</v>
      </c>
      <c r="I14" s="6">
        <v>226</v>
      </c>
      <c r="J14" s="6">
        <v>231</v>
      </c>
      <c r="K14" s="6">
        <v>240</v>
      </c>
      <c r="L14" s="6">
        <v>324</v>
      </c>
      <c r="M14" s="6">
        <v>317</v>
      </c>
      <c r="N14" s="6">
        <v>206</v>
      </c>
      <c r="O14" s="6">
        <v>271</v>
      </c>
      <c r="P14" s="6">
        <v>258</v>
      </c>
      <c r="Q14" s="6">
        <v>260</v>
      </c>
      <c r="R14" s="6">
        <v>307</v>
      </c>
      <c r="S14" s="6">
        <v>242</v>
      </c>
      <c r="T14" s="6">
        <v>213</v>
      </c>
      <c r="U14" s="6">
        <v>243</v>
      </c>
      <c r="V14" s="6">
        <v>253</v>
      </c>
      <c r="W14" s="6">
        <v>292</v>
      </c>
      <c r="X14" s="6">
        <v>284</v>
      </c>
      <c r="Y14" s="6">
        <v>304</v>
      </c>
      <c r="Z14" s="6">
        <v>302</v>
      </c>
      <c r="AA14" s="6">
        <v>258</v>
      </c>
    </row>
    <row r="15" spans="1:27" s="5" customFormat="1" x14ac:dyDescent="0.2">
      <c r="B15" s="191"/>
      <c r="C15" s="15" t="s">
        <v>3</v>
      </c>
      <c r="D15" s="39">
        <v>2.6</v>
      </c>
      <c r="E15" s="39">
        <v>2.9</v>
      </c>
      <c r="F15" s="39">
        <v>2.4</v>
      </c>
      <c r="G15" s="7">
        <v>2.7</v>
      </c>
      <c r="H15" s="7">
        <v>2.4</v>
      </c>
      <c r="I15" s="7">
        <v>2.1</v>
      </c>
      <c r="J15" s="7">
        <v>2.2000000000000002</v>
      </c>
      <c r="K15" s="7">
        <v>2.2000000000000002</v>
      </c>
      <c r="L15" s="7">
        <v>3.1</v>
      </c>
      <c r="M15" s="7">
        <v>2.7</v>
      </c>
      <c r="N15" s="7">
        <v>2.1</v>
      </c>
      <c r="O15" s="7">
        <v>2.2999999999999998</v>
      </c>
      <c r="P15" s="7">
        <v>2.4</v>
      </c>
      <c r="Q15" s="7">
        <v>2.4</v>
      </c>
      <c r="R15" s="7">
        <v>2.2999999999999998</v>
      </c>
      <c r="S15" s="7">
        <v>2.2000000000000002</v>
      </c>
      <c r="T15" s="7">
        <v>1.8</v>
      </c>
      <c r="U15" s="7">
        <v>2.1</v>
      </c>
      <c r="V15" s="7">
        <v>2.2999999999999998</v>
      </c>
      <c r="W15" s="7">
        <v>2.7</v>
      </c>
      <c r="X15" s="7">
        <v>2.8</v>
      </c>
      <c r="Y15" s="7">
        <v>2.6</v>
      </c>
      <c r="Z15" s="7">
        <v>2.6</v>
      </c>
      <c r="AA15" s="7">
        <v>2.7</v>
      </c>
    </row>
    <row r="16" spans="1:27" s="5" customFormat="1" x14ac:dyDescent="0.2">
      <c r="B16" s="190" t="s">
        <v>20</v>
      </c>
      <c r="C16" s="15" t="s">
        <v>2</v>
      </c>
      <c r="D16" s="39">
        <v>359321</v>
      </c>
      <c r="E16" s="39">
        <v>382679</v>
      </c>
      <c r="F16" s="39">
        <v>13533</v>
      </c>
      <c r="G16" s="6">
        <v>881</v>
      </c>
      <c r="H16" s="6">
        <v>684</v>
      </c>
      <c r="I16" s="6">
        <v>593</v>
      </c>
      <c r="J16" s="6">
        <v>554</v>
      </c>
      <c r="K16" s="6">
        <v>522</v>
      </c>
      <c r="L16" s="6">
        <v>703</v>
      </c>
      <c r="M16" s="6">
        <v>814</v>
      </c>
      <c r="N16" s="6">
        <v>425</v>
      </c>
      <c r="O16" s="6">
        <v>694</v>
      </c>
      <c r="P16" s="6">
        <v>799</v>
      </c>
      <c r="Q16" s="6">
        <v>607</v>
      </c>
      <c r="R16" s="6">
        <v>803</v>
      </c>
      <c r="S16" s="6">
        <v>604</v>
      </c>
      <c r="T16" s="6">
        <v>412</v>
      </c>
      <c r="U16" s="6">
        <v>547</v>
      </c>
      <c r="V16" s="6">
        <v>608</v>
      </c>
      <c r="W16" s="6">
        <v>634</v>
      </c>
      <c r="X16" s="6">
        <v>670</v>
      </c>
      <c r="Y16" s="6">
        <v>707</v>
      </c>
      <c r="Z16" s="6">
        <v>707</v>
      </c>
      <c r="AA16" s="6">
        <v>565</v>
      </c>
    </row>
    <row r="17" spans="2:27" s="5" customFormat="1" x14ac:dyDescent="0.2">
      <c r="B17" s="191"/>
      <c r="C17" s="15" t="s">
        <v>3</v>
      </c>
      <c r="D17" s="39">
        <v>6.8</v>
      </c>
      <c r="E17" s="39">
        <v>7.2</v>
      </c>
      <c r="F17" s="39">
        <v>5.9</v>
      </c>
      <c r="G17" s="7">
        <v>7.9</v>
      </c>
      <c r="H17" s="7">
        <v>6.2</v>
      </c>
      <c r="I17" s="7">
        <v>5.5</v>
      </c>
      <c r="J17" s="7">
        <v>5.2</v>
      </c>
      <c r="K17" s="7">
        <v>4.9000000000000004</v>
      </c>
      <c r="L17" s="7">
        <v>6.7</v>
      </c>
      <c r="M17" s="7">
        <v>6.8</v>
      </c>
      <c r="N17" s="7">
        <v>4.3</v>
      </c>
      <c r="O17" s="7">
        <v>5.9</v>
      </c>
      <c r="P17" s="7">
        <v>7.5</v>
      </c>
      <c r="Q17" s="7">
        <v>5.6</v>
      </c>
      <c r="R17" s="7">
        <v>6.1</v>
      </c>
      <c r="S17" s="7">
        <v>5.6</v>
      </c>
      <c r="T17" s="7">
        <v>3.6</v>
      </c>
      <c r="U17" s="7">
        <v>4.8</v>
      </c>
      <c r="V17" s="7">
        <v>5.5</v>
      </c>
      <c r="W17" s="7">
        <v>5.9</v>
      </c>
      <c r="X17" s="7">
        <v>6.5</v>
      </c>
      <c r="Y17" s="7">
        <v>6.1</v>
      </c>
      <c r="Z17" s="7">
        <v>6.2</v>
      </c>
      <c r="AA17" s="7">
        <v>5.8</v>
      </c>
    </row>
    <row r="18" spans="2:27" s="5" customFormat="1" x14ac:dyDescent="0.2">
      <c r="B18" s="190" t="s">
        <v>21</v>
      </c>
      <c r="C18" s="15" t="s">
        <v>2</v>
      </c>
      <c r="D18" s="39">
        <v>3650881</v>
      </c>
      <c r="E18" s="39">
        <v>347304</v>
      </c>
      <c r="F18" s="39">
        <v>14446</v>
      </c>
      <c r="G18" s="6">
        <v>986</v>
      </c>
      <c r="H18" s="6">
        <v>790</v>
      </c>
      <c r="I18" s="6">
        <v>662</v>
      </c>
      <c r="J18" s="6">
        <v>562</v>
      </c>
      <c r="K18" s="6">
        <v>502</v>
      </c>
      <c r="L18" s="6">
        <v>695</v>
      </c>
      <c r="M18" s="6">
        <v>848</v>
      </c>
      <c r="N18" s="6">
        <v>514</v>
      </c>
      <c r="O18" s="6">
        <v>780</v>
      </c>
      <c r="P18" s="6">
        <v>978</v>
      </c>
      <c r="Q18" s="6">
        <v>647</v>
      </c>
      <c r="R18" s="6">
        <v>891</v>
      </c>
      <c r="S18" s="6">
        <v>722</v>
      </c>
      <c r="T18" s="6">
        <v>354</v>
      </c>
      <c r="U18" s="6">
        <v>562</v>
      </c>
      <c r="V18" s="6">
        <v>629</v>
      </c>
      <c r="W18" s="6">
        <v>581</v>
      </c>
      <c r="X18" s="6">
        <v>651</v>
      </c>
      <c r="Y18" s="6">
        <v>782</v>
      </c>
      <c r="Z18" s="6">
        <v>791</v>
      </c>
      <c r="AA18" s="6">
        <v>519</v>
      </c>
    </row>
    <row r="19" spans="2:27" s="5" customFormat="1" x14ac:dyDescent="0.2">
      <c r="B19" s="191"/>
      <c r="C19" s="15" t="s">
        <v>3</v>
      </c>
      <c r="D19" s="39">
        <v>6.9</v>
      </c>
      <c r="E19" s="39">
        <v>6.6</v>
      </c>
      <c r="F19" s="39">
        <v>6.2</v>
      </c>
      <c r="G19" s="7">
        <v>8.9</v>
      </c>
      <c r="H19" s="7">
        <v>7.2</v>
      </c>
      <c r="I19" s="7">
        <v>6.2</v>
      </c>
      <c r="J19" s="7">
        <v>5.3</v>
      </c>
      <c r="K19" s="7">
        <v>4.7</v>
      </c>
      <c r="L19" s="7">
        <v>6.6</v>
      </c>
      <c r="M19" s="7">
        <v>7.1</v>
      </c>
      <c r="N19" s="7">
        <v>5.3</v>
      </c>
      <c r="O19" s="7">
        <v>6.6</v>
      </c>
      <c r="P19" s="7">
        <v>9.1999999999999993</v>
      </c>
      <c r="Q19" s="7">
        <v>6</v>
      </c>
      <c r="R19" s="7">
        <v>6.8</v>
      </c>
      <c r="S19" s="7">
        <v>6.7</v>
      </c>
      <c r="T19" s="7">
        <v>3.1</v>
      </c>
      <c r="U19" s="7">
        <v>5</v>
      </c>
      <c r="V19" s="7">
        <v>5.7</v>
      </c>
      <c r="W19" s="7">
        <v>5.4</v>
      </c>
      <c r="X19" s="7">
        <v>6.4</v>
      </c>
      <c r="Y19" s="7">
        <v>6.8</v>
      </c>
      <c r="Z19" s="7">
        <v>6.9</v>
      </c>
      <c r="AA19" s="7">
        <v>5.4</v>
      </c>
    </row>
    <row r="20" spans="2:27" s="5" customFormat="1" x14ac:dyDescent="0.2">
      <c r="B20" s="190" t="s">
        <v>22</v>
      </c>
      <c r="C20" s="15" t="s">
        <v>2</v>
      </c>
      <c r="D20" s="39">
        <v>10944271</v>
      </c>
      <c r="E20" s="39">
        <v>1042121</v>
      </c>
      <c r="F20" s="39">
        <v>45725</v>
      </c>
      <c r="G20" s="6">
        <v>2392</v>
      </c>
      <c r="H20" s="6">
        <v>2246</v>
      </c>
      <c r="I20" s="6">
        <v>2131</v>
      </c>
      <c r="J20" s="6">
        <v>2290</v>
      </c>
      <c r="K20" s="6">
        <v>2046</v>
      </c>
      <c r="L20" s="6">
        <v>1899</v>
      </c>
      <c r="M20" s="6">
        <v>2360</v>
      </c>
      <c r="N20" s="6">
        <v>1722</v>
      </c>
      <c r="O20" s="6">
        <v>2409</v>
      </c>
      <c r="P20" s="6">
        <v>2297</v>
      </c>
      <c r="Q20" s="6">
        <v>1941</v>
      </c>
      <c r="R20" s="6">
        <v>2623</v>
      </c>
      <c r="S20" s="6">
        <v>2411</v>
      </c>
      <c r="T20" s="6">
        <v>2095</v>
      </c>
      <c r="U20" s="6">
        <v>2335</v>
      </c>
      <c r="V20" s="6">
        <v>2131</v>
      </c>
      <c r="W20" s="6">
        <v>2063</v>
      </c>
      <c r="X20" s="6">
        <v>1988</v>
      </c>
      <c r="Y20" s="6">
        <v>2206</v>
      </c>
      <c r="Z20" s="6">
        <v>2332</v>
      </c>
      <c r="AA20" s="6">
        <v>1808</v>
      </c>
    </row>
    <row r="21" spans="2:27" s="5" customFormat="1" x14ac:dyDescent="0.2">
      <c r="B21" s="191"/>
      <c r="C21" s="15" t="s">
        <v>3</v>
      </c>
      <c r="D21" s="39">
        <v>20.6</v>
      </c>
      <c r="E21" s="39">
        <v>19.7</v>
      </c>
      <c r="F21" s="39">
        <v>19.8</v>
      </c>
      <c r="G21" s="7">
        <v>21.5</v>
      </c>
      <c r="H21" s="7">
        <v>20.5</v>
      </c>
      <c r="I21" s="7">
        <v>19.899999999999999</v>
      </c>
      <c r="J21" s="7">
        <v>21.4</v>
      </c>
      <c r="K21" s="7">
        <v>19.2</v>
      </c>
      <c r="L21" s="7">
        <v>18.100000000000001</v>
      </c>
      <c r="M21" s="7">
        <v>19.899999999999999</v>
      </c>
      <c r="N21" s="7">
        <v>17.600000000000001</v>
      </c>
      <c r="O21" s="7">
        <v>20.3</v>
      </c>
      <c r="P21" s="7">
        <v>21.5</v>
      </c>
      <c r="Q21" s="7">
        <v>18</v>
      </c>
      <c r="R21" s="7">
        <v>19.899999999999999</v>
      </c>
      <c r="S21" s="7">
        <v>22.3</v>
      </c>
      <c r="T21" s="7">
        <v>18.100000000000001</v>
      </c>
      <c r="U21" s="7">
        <v>20.6</v>
      </c>
      <c r="V21" s="7">
        <v>19.3</v>
      </c>
      <c r="W21" s="7">
        <v>19.2</v>
      </c>
      <c r="X21" s="7">
        <v>19.399999999999999</v>
      </c>
      <c r="Y21" s="7">
        <v>19.2</v>
      </c>
      <c r="Z21" s="7">
        <v>20.3</v>
      </c>
      <c r="AA21" s="7">
        <v>18.7</v>
      </c>
    </row>
    <row r="22" spans="2:27" s="5" customFormat="1" x14ac:dyDescent="0.2">
      <c r="B22" s="190" t="s">
        <v>23</v>
      </c>
      <c r="C22" s="15" t="s">
        <v>2</v>
      </c>
      <c r="D22" s="39">
        <v>10276902</v>
      </c>
      <c r="E22" s="39">
        <v>1031066</v>
      </c>
      <c r="F22" s="39">
        <v>48377</v>
      </c>
      <c r="G22" s="6">
        <v>2204</v>
      </c>
      <c r="H22" s="6">
        <v>2187</v>
      </c>
      <c r="I22" s="6">
        <v>2170</v>
      </c>
      <c r="J22" s="6">
        <v>2246</v>
      </c>
      <c r="K22" s="6">
        <v>2295</v>
      </c>
      <c r="L22" s="6">
        <v>2143</v>
      </c>
      <c r="M22" s="6">
        <v>2486</v>
      </c>
      <c r="N22" s="6">
        <v>2108</v>
      </c>
      <c r="O22" s="6">
        <v>2529</v>
      </c>
      <c r="P22" s="6">
        <v>2149</v>
      </c>
      <c r="Q22" s="6">
        <v>2278</v>
      </c>
      <c r="R22" s="6">
        <v>2731</v>
      </c>
      <c r="S22" s="6">
        <v>2304</v>
      </c>
      <c r="T22" s="6">
        <v>2883</v>
      </c>
      <c r="U22" s="6">
        <v>2589</v>
      </c>
      <c r="V22" s="6">
        <v>2235</v>
      </c>
      <c r="W22" s="6">
        <v>2322</v>
      </c>
      <c r="X22" s="6">
        <v>2011</v>
      </c>
      <c r="Y22" s="6">
        <v>2281</v>
      </c>
      <c r="Z22" s="6">
        <v>2201</v>
      </c>
      <c r="AA22" s="6">
        <v>2025</v>
      </c>
    </row>
    <row r="23" spans="2:27" s="5" customFormat="1" x14ac:dyDescent="0.2">
      <c r="B23" s="191"/>
      <c r="C23" s="15" t="s">
        <v>3</v>
      </c>
      <c r="D23" s="39">
        <v>19.399999999999999</v>
      </c>
      <c r="E23" s="39">
        <v>19.5</v>
      </c>
      <c r="F23" s="39">
        <v>20.9</v>
      </c>
      <c r="G23" s="7">
        <v>19.8</v>
      </c>
      <c r="H23" s="7">
        <v>19.899999999999999</v>
      </c>
      <c r="I23" s="7">
        <v>20.3</v>
      </c>
      <c r="J23" s="7">
        <v>21</v>
      </c>
      <c r="K23" s="7">
        <v>21.5</v>
      </c>
      <c r="L23" s="7">
        <v>20.399999999999999</v>
      </c>
      <c r="M23" s="7">
        <v>20.9</v>
      </c>
      <c r="N23" s="7">
        <v>21.6</v>
      </c>
      <c r="O23" s="7">
        <v>21.3</v>
      </c>
      <c r="P23" s="7">
        <v>20.100000000000001</v>
      </c>
      <c r="Q23" s="7">
        <v>21.1</v>
      </c>
      <c r="R23" s="7">
        <v>20.7</v>
      </c>
      <c r="S23" s="7">
        <v>21.3</v>
      </c>
      <c r="T23" s="7">
        <v>24.9</v>
      </c>
      <c r="U23" s="7">
        <v>22.9</v>
      </c>
      <c r="V23" s="7">
        <v>20.2</v>
      </c>
      <c r="W23" s="7">
        <v>21.6</v>
      </c>
      <c r="X23" s="7">
        <v>19.600000000000001</v>
      </c>
      <c r="Y23" s="7">
        <v>19.8</v>
      </c>
      <c r="Z23" s="7">
        <v>19.2</v>
      </c>
      <c r="AA23" s="7">
        <v>20.9</v>
      </c>
    </row>
    <row r="24" spans="2:27" s="5" customFormat="1" x14ac:dyDescent="0.2">
      <c r="B24" s="190" t="s">
        <v>24</v>
      </c>
      <c r="C24" s="15" t="s">
        <v>2</v>
      </c>
      <c r="D24" s="39">
        <v>3172277</v>
      </c>
      <c r="E24" s="39">
        <v>325329</v>
      </c>
      <c r="F24" s="39">
        <v>14843</v>
      </c>
      <c r="G24" s="6">
        <v>642</v>
      </c>
      <c r="H24" s="6">
        <v>611</v>
      </c>
      <c r="I24" s="6">
        <v>720</v>
      </c>
      <c r="J24" s="6">
        <v>741</v>
      </c>
      <c r="K24" s="6">
        <v>785</v>
      </c>
      <c r="L24" s="6">
        <v>638</v>
      </c>
      <c r="M24" s="6">
        <v>667</v>
      </c>
      <c r="N24" s="6">
        <v>807</v>
      </c>
      <c r="O24" s="6">
        <v>702</v>
      </c>
      <c r="P24" s="6">
        <v>504</v>
      </c>
      <c r="Q24" s="6">
        <v>759</v>
      </c>
      <c r="R24" s="6">
        <v>768</v>
      </c>
      <c r="S24" s="6">
        <v>611</v>
      </c>
      <c r="T24" s="6">
        <v>970</v>
      </c>
      <c r="U24" s="6">
        <v>811</v>
      </c>
      <c r="V24" s="6">
        <v>722</v>
      </c>
      <c r="W24" s="6">
        <v>694</v>
      </c>
      <c r="X24" s="6">
        <v>613</v>
      </c>
      <c r="Y24" s="6">
        <v>754</v>
      </c>
      <c r="Z24" s="6">
        <v>710</v>
      </c>
      <c r="AA24" s="6">
        <v>614</v>
      </c>
    </row>
    <row r="25" spans="2:27" s="5" customFormat="1" x14ac:dyDescent="0.2">
      <c r="B25" s="191"/>
      <c r="C25" s="15" t="s">
        <v>3</v>
      </c>
      <c r="D25" s="39">
        <v>6</v>
      </c>
      <c r="E25" s="39">
        <v>6.2</v>
      </c>
      <c r="F25" s="39">
        <v>6.4</v>
      </c>
      <c r="G25" s="7">
        <v>5.8</v>
      </c>
      <c r="H25" s="7">
        <v>5.6</v>
      </c>
      <c r="I25" s="7">
        <v>6.7</v>
      </c>
      <c r="J25" s="7">
        <v>6.9</v>
      </c>
      <c r="K25" s="7">
        <v>7.4</v>
      </c>
      <c r="L25" s="7">
        <v>6.1</v>
      </c>
      <c r="M25" s="7">
        <v>5.6</v>
      </c>
      <c r="N25" s="7">
        <v>8.3000000000000007</v>
      </c>
      <c r="O25" s="7">
        <v>5.9</v>
      </c>
      <c r="P25" s="7">
        <v>4.7</v>
      </c>
      <c r="Q25" s="7">
        <v>7</v>
      </c>
      <c r="R25" s="7">
        <v>5.8</v>
      </c>
      <c r="S25" s="7">
        <v>5.7</v>
      </c>
      <c r="T25" s="7">
        <v>8.4</v>
      </c>
      <c r="U25" s="7">
        <v>7.2</v>
      </c>
      <c r="V25" s="7">
        <v>6.5</v>
      </c>
      <c r="W25" s="7">
        <v>6.5</v>
      </c>
      <c r="X25" s="7">
        <v>6</v>
      </c>
      <c r="Y25" s="7">
        <v>6.6</v>
      </c>
      <c r="Z25" s="7">
        <v>6.2</v>
      </c>
      <c r="AA25" s="7">
        <v>6.3</v>
      </c>
    </row>
    <row r="26" spans="2:27" s="5" customFormat="1" x14ac:dyDescent="0.2">
      <c r="B26" s="190" t="s">
        <v>25</v>
      </c>
      <c r="C26" s="15" t="s">
        <v>2</v>
      </c>
      <c r="D26" s="39">
        <v>4552283</v>
      </c>
      <c r="E26" s="39">
        <v>463849</v>
      </c>
      <c r="F26" s="39">
        <v>22080</v>
      </c>
      <c r="G26" s="6">
        <v>941</v>
      </c>
      <c r="H26" s="6">
        <v>902</v>
      </c>
      <c r="I26" s="6">
        <v>1075</v>
      </c>
      <c r="J26" s="6">
        <v>1060</v>
      </c>
      <c r="K26" s="6">
        <v>1203</v>
      </c>
      <c r="L26" s="6">
        <v>969</v>
      </c>
      <c r="M26" s="6">
        <v>903</v>
      </c>
      <c r="N26" s="6">
        <v>1172</v>
      </c>
      <c r="O26" s="6">
        <v>1024</v>
      </c>
      <c r="P26" s="6">
        <v>746</v>
      </c>
      <c r="Q26" s="6">
        <v>1250</v>
      </c>
      <c r="R26" s="6">
        <v>1090</v>
      </c>
      <c r="S26" s="6">
        <v>927</v>
      </c>
      <c r="T26" s="6">
        <v>1435</v>
      </c>
      <c r="U26" s="6">
        <v>1039</v>
      </c>
      <c r="V26" s="6">
        <v>1283</v>
      </c>
      <c r="W26" s="6">
        <v>1004</v>
      </c>
      <c r="X26" s="6">
        <v>774</v>
      </c>
      <c r="Y26" s="6">
        <v>1195</v>
      </c>
      <c r="Z26" s="6">
        <v>1060</v>
      </c>
      <c r="AA26" s="6">
        <v>1028</v>
      </c>
    </row>
    <row r="27" spans="2:27" s="5" customFormat="1" x14ac:dyDescent="0.2">
      <c r="B27" s="191"/>
      <c r="C27" s="15" t="s">
        <v>3</v>
      </c>
      <c r="D27" s="39">
        <v>8.6</v>
      </c>
      <c r="E27" s="39">
        <v>8.8000000000000007</v>
      </c>
      <c r="F27" s="39">
        <v>9.5</v>
      </c>
      <c r="G27" s="7">
        <v>8.5</v>
      </c>
      <c r="H27" s="7">
        <v>8.1999999999999993</v>
      </c>
      <c r="I27" s="7">
        <v>10.1</v>
      </c>
      <c r="J27" s="7">
        <v>9.9</v>
      </c>
      <c r="K27" s="7">
        <v>11.3</v>
      </c>
      <c r="L27" s="7">
        <v>9.1999999999999993</v>
      </c>
      <c r="M27" s="7">
        <v>7.6</v>
      </c>
      <c r="N27" s="7">
        <v>12</v>
      </c>
      <c r="O27" s="7">
        <v>8.6</v>
      </c>
      <c r="P27" s="7">
        <v>7</v>
      </c>
      <c r="Q27" s="7">
        <v>11.6</v>
      </c>
      <c r="R27" s="7">
        <v>8.3000000000000007</v>
      </c>
      <c r="S27" s="7">
        <v>8.6</v>
      </c>
      <c r="T27" s="7">
        <v>12.4</v>
      </c>
      <c r="U27" s="7">
        <v>9.1999999999999993</v>
      </c>
      <c r="V27" s="7">
        <v>11.6</v>
      </c>
      <c r="W27" s="7">
        <v>9.4</v>
      </c>
      <c r="X27" s="7">
        <v>7.6</v>
      </c>
      <c r="Y27" s="7">
        <v>10.4</v>
      </c>
      <c r="Z27" s="7">
        <v>9.1999999999999993</v>
      </c>
      <c r="AA27" s="7">
        <v>10.6</v>
      </c>
    </row>
    <row r="28" spans="2:27" s="5" customFormat="1" x14ac:dyDescent="0.2">
      <c r="B28" s="190" t="s">
        <v>26</v>
      </c>
      <c r="C28" s="15" t="s">
        <v>2</v>
      </c>
      <c r="D28" s="39">
        <v>2928118</v>
      </c>
      <c r="E28" s="39">
        <v>296421</v>
      </c>
      <c r="F28" s="39">
        <v>13250</v>
      </c>
      <c r="G28" s="6">
        <v>508</v>
      </c>
      <c r="H28" s="6">
        <v>543</v>
      </c>
      <c r="I28" s="6">
        <v>607</v>
      </c>
      <c r="J28" s="6">
        <v>593</v>
      </c>
      <c r="K28" s="6">
        <v>703</v>
      </c>
      <c r="L28" s="6">
        <v>548</v>
      </c>
      <c r="M28" s="6">
        <v>539</v>
      </c>
      <c r="N28" s="6">
        <v>807</v>
      </c>
      <c r="O28" s="6">
        <v>662</v>
      </c>
      <c r="P28" s="6">
        <v>481</v>
      </c>
      <c r="Q28" s="6">
        <v>677</v>
      </c>
      <c r="R28" s="6">
        <v>721</v>
      </c>
      <c r="S28" s="6">
        <v>550</v>
      </c>
      <c r="T28" s="6">
        <v>735</v>
      </c>
      <c r="U28" s="6">
        <v>652</v>
      </c>
      <c r="V28" s="6">
        <v>752</v>
      </c>
      <c r="W28" s="6">
        <v>620</v>
      </c>
      <c r="X28" s="6">
        <v>564</v>
      </c>
      <c r="Y28" s="6">
        <v>681</v>
      </c>
      <c r="Z28" s="6">
        <v>617</v>
      </c>
      <c r="AA28" s="6">
        <v>690</v>
      </c>
    </row>
    <row r="29" spans="2:27" s="5" customFormat="1" x14ac:dyDescent="0.2">
      <c r="B29" s="191"/>
      <c r="C29" s="15" t="s">
        <v>3</v>
      </c>
      <c r="D29" s="39">
        <v>5.5</v>
      </c>
      <c r="E29" s="39">
        <v>5.6</v>
      </c>
      <c r="F29" s="39">
        <v>5.7</v>
      </c>
      <c r="G29" s="7">
        <v>4.5999999999999996</v>
      </c>
      <c r="H29" s="7">
        <v>4.9000000000000004</v>
      </c>
      <c r="I29" s="7">
        <v>5.7</v>
      </c>
      <c r="J29" s="7">
        <v>5.6</v>
      </c>
      <c r="K29" s="7">
        <v>6.6</v>
      </c>
      <c r="L29" s="7">
        <v>5.2</v>
      </c>
      <c r="M29" s="7">
        <v>4.5</v>
      </c>
      <c r="N29" s="7">
        <v>8.3000000000000007</v>
      </c>
      <c r="O29" s="7">
        <v>5.6</v>
      </c>
      <c r="P29" s="7">
        <v>4.5</v>
      </c>
      <c r="Q29" s="7">
        <v>6.3</v>
      </c>
      <c r="R29" s="7">
        <v>5.5</v>
      </c>
      <c r="S29" s="7">
        <v>5.0999999999999996</v>
      </c>
      <c r="T29" s="7">
        <v>6.3</v>
      </c>
      <c r="U29" s="7">
        <v>5.8</v>
      </c>
      <c r="V29" s="7">
        <v>6.8</v>
      </c>
      <c r="W29" s="7">
        <v>5.8</v>
      </c>
      <c r="X29" s="7">
        <v>5.5</v>
      </c>
      <c r="Y29" s="7">
        <v>5.9</v>
      </c>
      <c r="Z29" s="7">
        <v>5.4</v>
      </c>
      <c r="AA29" s="7">
        <v>7.1</v>
      </c>
    </row>
    <row r="30" spans="2:27" s="5" customFormat="1" x14ac:dyDescent="0.2">
      <c r="B30" s="190" t="s">
        <v>27</v>
      </c>
      <c r="C30" s="15" t="s">
        <v>2</v>
      </c>
      <c r="D30" s="39">
        <v>776311</v>
      </c>
      <c r="E30" s="39">
        <v>75868</v>
      </c>
      <c r="F30" s="39">
        <v>3279</v>
      </c>
      <c r="G30" s="6">
        <v>128</v>
      </c>
      <c r="H30" s="6">
        <v>144</v>
      </c>
      <c r="I30" s="6">
        <v>144</v>
      </c>
      <c r="J30" s="6">
        <v>165</v>
      </c>
      <c r="K30" s="6">
        <v>184</v>
      </c>
      <c r="L30" s="6">
        <v>188</v>
      </c>
      <c r="M30" s="6">
        <v>130</v>
      </c>
      <c r="N30" s="6">
        <v>192</v>
      </c>
      <c r="O30" s="6">
        <v>177</v>
      </c>
      <c r="P30" s="6">
        <v>141</v>
      </c>
      <c r="Q30" s="6">
        <v>141</v>
      </c>
      <c r="R30" s="6">
        <v>178</v>
      </c>
      <c r="S30" s="6">
        <v>123</v>
      </c>
      <c r="T30" s="6">
        <v>163</v>
      </c>
      <c r="U30" s="6">
        <v>144</v>
      </c>
      <c r="V30" s="6">
        <v>189</v>
      </c>
      <c r="W30" s="6">
        <v>143</v>
      </c>
      <c r="X30" s="6">
        <v>137</v>
      </c>
      <c r="Y30" s="6">
        <v>135</v>
      </c>
      <c r="Z30" s="6">
        <v>184</v>
      </c>
      <c r="AA30" s="6">
        <v>149</v>
      </c>
    </row>
    <row r="31" spans="2:27" s="5" customFormat="1" x14ac:dyDescent="0.2">
      <c r="B31" s="191"/>
      <c r="C31" s="15" t="s">
        <v>3</v>
      </c>
      <c r="D31" s="39">
        <v>1.5</v>
      </c>
      <c r="E31" s="39">
        <v>1.4</v>
      </c>
      <c r="F31" s="39">
        <v>1.4</v>
      </c>
      <c r="G31" s="7">
        <v>1.2</v>
      </c>
      <c r="H31" s="7">
        <v>1.3</v>
      </c>
      <c r="I31" s="7">
        <v>1.3</v>
      </c>
      <c r="J31" s="7">
        <v>1.5</v>
      </c>
      <c r="K31" s="7">
        <v>1.7</v>
      </c>
      <c r="L31" s="7">
        <v>1.8</v>
      </c>
      <c r="M31" s="7">
        <v>1.1000000000000001</v>
      </c>
      <c r="N31" s="7">
        <v>2</v>
      </c>
      <c r="O31" s="7">
        <v>1.5</v>
      </c>
      <c r="P31" s="7">
        <v>1.3</v>
      </c>
      <c r="Q31" s="7">
        <v>1.3</v>
      </c>
      <c r="R31" s="7">
        <v>1.3</v>
      </c>
      <c r="S31" s="7">
        <v>1.1000000000000001</v>
      </c>
      <c r="T31" s="7">
        <v>1.4</v>
      </c>
      <c r="U31" s="7">
        <v>1.3</v>
      </c>
      <c r="V31" s="7">
        <v>1.7</v>
      </c>
      <c r="W31" s="7">
        <v>1.3</v>
      </c>
      <c r="X31" s="7">
        <v>1.3</v>
      </c>
      <c r="Y31" s="7">
        <v>1.2</v>
      </c>
      <c r="Z31" s="7">
        <v>1.6</v>
      </c>
      <c r="AA31" s="7">
        <v>1.5</v>
      </c>
    </row>
    <row r="32" spans="2:27" s="5" customFormat="1" x14ac:dyDescent="0.2">
      <c r="B32" s="190" t="s">
        <v>28</v>
      </c>
      <c r="C32" s="15" t="s">
        <v>2</v>
      </c>
      <c r="D32" s="39">
        <v>403817</v>
      </c>
      <c r="E32" s="39">
        <v>38433</v>
      </c>
      <c r="F32" s="39">
        <v>1401</v>
      </c>
      <c r="G32" s="6">
        <v>55</v>
      </c>
      <c r="H32" s="6">
        <v>55</v>
      </c>
      <c r="I32" s="6">
        <v>56</v>
      </c>
      <c r="J32" s="6">
        <v>73</v>
      </c>
      <c r="K32" s="6">
        <v>70</v>
      </c>
      <c r="L32" s="6">
        <v>72</v>
      </c>
      <c r="M32" s="6">
        <v>55</v>
      </c>
      <c r="N32" s="6">
        <v>86</v>
      </c>
      <c r="O32" s="6">
        <v>67</v>
      </c>
      <c r="P32" s="6">
        <v>64</v>
      </c>
      <c r="Q32" s="6">
        <v>50</v>
      </c>
      <c r="R32" s="6">
        <v>88</v>
      </c>
      <c r="S32" s="6">
        <v>56</v>
      </c>
      <c r="T32" s="6">
        <v>83</v>
      </c>
      <c r="U32" s="6">
        <v>62</v>
      </c>
      <c r="V32" s="6">
        <v>75</v>
      </c>
      <c r="W32" s="6">
        <v>76</v>
      </c>
      <c r="X32" s="6">
        <v>47</v>
      </c>
      <c r="Y32" s="6">
        <v>64</v>
      </c>
      <c r="Z32" s="6">
        <v>88</v>
      </c>
      <c r="AA32" s="6">
        <v>59</v>
      </c>
    </row>
    <row r="33" spans="2:27" s="5" customFormat="1" x14ac:dyDescent="0.2">
      <c r="B33" s="191"/>
      <c r="C33" s="15" t="s">
        <v>3</v>
      </c>
      <c r="D33" s="39">
        <v>0.8</v>
      </c>
      <c r="E33" s="39">
        <v>0.7</v>
      </c>
      <c r="F33" s="39">
        <v>0</v>
      </c>
      <c r="G33" s="7">
        <v>0.5</v>
      </c>
      <c r="H33" s="7">
        <v>0.5</v>
      </c>
      <c r="I33" s="7">
        <v>0.5</v>
      </c>
      <c r="J33" s="7">
        <v>0.7</v>
      </c>
      <c r="K33" s="7">
        <v>0.7</v>
      </c>
      <c r="L33" s="7">
        <v>0.7</v>
      </c>
      <c r="M33" s="7">
        <v>0.5</v>
      </c>
      <c r="N33" s="7">
        <v>0.9</v>
      </c>
      <c r="O33" s="7">
        <v>0.6</v>
      </c>
      <c r="P33" s="7">
        <v>0.6</v>
      </c>
      <c r="Q33" s="7">
        <v>0.5</v>
      </c>
      <c r="R33" s="7">
        <v>0.7</v>
      </c>
      <c r="S33" s="7">
        <v>0.5</v>
      </c>
      <c r="T33" s="7">
        <v>0.7</v>
      </c>
      <c r="U33" s="7">
        <v>0.5</v>
      </c>
      <c r="V33" s="7">
        <v>0.7</v>
      </c>
      <c r="W33" s="7">
        <v>0.7</v>
      </c>
      <c r="X33" s="7">
        <v>0.5</v>
      </c>
      <c r="Y33" s="7">
        <v>0.6</v>
      </c>
      <c r="Z33" s="7">
        <v>0.8</v>
      </c>
      <c r="AA33" s="7">
        <v>0.6</v>
      </c>
    </row>
    <row r="34" spans="2:27" s="5" customFormat="1" x14ac:dyDescent="0.2">
      <c r="B34" s="16" t="s">
        <v>343</v>
      </c>
      <c r="C34" s="15" t="s">
        <v>2</v>
      </c>
      <c r="D34" s="23">
        <f>D2+D4+D6+D8+D10+D12+D14+D16+D18+D20+D22+D24+D26+D28+D30+D32</f>
        <v>49776456</v>
      </c>
      <c r="E34" s="23">
        <f>E2+E4+E6+E8+E10+E12+E14+E16+E18+E20+E22+E24+E26+E28+E30+E32</f>
        <v>5283733</v>
      </c>
      <c r="F34" s="23">
        <f>F2+F4+F6+F8+F10+F12+F14+F16+F18+F20+F22+F24+F26+F28+F30+F32</f>
        <v>231221</v>
      </c>
      <c r="G34" s="23">
        <f>G2+G4+G6+G8+G10+G12+G14+G16+G18+G20+G22+G24+G26+G28+G30+G32</f>
        <v>11115</v>
      </c>
      <c r="H34" s="23">
        <f t="shared" ref="H34:AA34" si="0">H2+H4+H6+H8+H10+H12+H14+H16+H18+H20+H22+H24+H26+H28+H30+H32</f>
        <v>10977</v>
      </c>
      <c r="I34" s="23">
        <f t="shared" si="0"/>
        <v>10685</v>
      </c>
      <c r="J34" s="23">
        <f t="shared" si="0"/>
        <v>10676</v>
      </c>
      <c r="K34" s="23">
        <f t="shared" si="0"/>
        <v>10669</v>
      </c>
      <c r="L34" s="23">
        <f t="shared" si="0"/>
        <v>10498</v>
      </c>
      <c r="M34" s="23">
        <f t="shared" si="0"/>
        <v>11889</v>
      </c>
      <c r="N34" s="23">
        <f t="shared" si="0"/>
        <v>9777</v>
      </c>
      <c r="O34" s="23">
        <f t="shared" si="0"/>
        <v>11852</v>
      </c>
      <c r="P34" s="23">
        <f t="shared" si="0"/>
        <v>10680</v>
      </c>
      <c r="Q34" s="23">
        <f t="shared" si="0"/>
        <v>10785</v>
      </c>
      <c r="R34" s="23">
        <f t="shared" si="0"/>
        <v>13189</v>
      </c>
      <c r="S34" s="23">
        <f t="shared" si="0"/>
        <v>10811</v>
      </c>
      <c r="T34" s="23">
        <f t="shared" si="0"/>
        <v>11587</v>
      </c>
      <c r="U34" s="23">
        <f t="shared" si="0"/>
        <v>11322</v>
      </c>
      <c r="V34" s="23">
        <f t="shared" si="0"/>
        <v>11062</v>
      </c>
      <c r="W34" s="23">
        <f t="shared" si="0"/>
        <v>10728</v>
      </c>
      <c r="X34" s="23">
        <f t="shared" si="0"/>
        <v>10250</v>
      </c>
      <c r="Y34" s="23">
        <f t="shared" si="0"/>
        <v>11510</v>
      </c>
      <c r="Z34" s="23">
        <f t="shared" si="0"/>
        <v>11477</v>
      </c>
      <c r="AA34" s="23">
        <f t="shared" si="0"/>
        <v>9682</v>
      </c>
    </row>
    <row r="35" spans="2:27" s="5" customFormat="1" x14ac:dyDescent="0.2">
      <c r="B35" s="16" t="s">
        <v>338</v>
      </c>
      <c r="C35" s="15" t="s">
        <v>2</v>
      </c>
      <c r="D35" s="23">
        <f>D4+D6+D8+D10</f>
        <v>6704387</v>
      </c>
      <c r="E35" s="23">
        <f>E4+E6+E8+E10</f>
        <v>669345</v>
      </c>
      <c r="F35" s="23">
        <f>F4+F6+F8+F10</f>
        <v>28929</v>
      </c>
      <c r="G35" s="23">
        <f>G4+G6+G8+G10</f>
        <v>1167</v>
      </c>
      <c r="H35" s="23">
        <f t="shared" ref="H35:AA35" si="1">H4+H6+H8+H10</f>
        <v>1483</v>
      </c>
      <c r="I35" s="23">
        <f t="shared" si="1"/>
        <v>1368</v>
      </c>
      <c r="J35" s="23">
        <f t="shared" si="1"/>
        <v>1333</v>
      </c>
      <c r="K35" s="23">
        <f t="shared" si="1"/>
        <v>1321</v>
      </c>
      <c r="L35" s="23">
        <f t="shared" si="1"/>
        <v>1352</v>
      </c>
      <c r="M35" s="23">
        <f t="shared" si="1"/>
        <v>1564</v>
      </c>
      <c r="N35" s="23">
        <f t="shared" si="1"/>
        <v>1029</v>
      </c>
      <c r="O35" s="23">
        <f t="shared" si="1"/>
        <v>1511</v>
      </c>
      <c r="P35" s="23">
        <f t="shared" si="1"/>
        <v>1239</v>
      </c>
      <c r="Q35" s="23">
        <f t="shared" si="1"/>
        <v>1271</v>
      </c>
      <c r="R35" s="23">
        <f t="shared" si="1"/>
        <v>1782</v>
      </c>
      <c r="S35" s="23">
        <f t="shared" si="1"/>
        <v>1319</v>
      </c>
      <c r="T35" s="23">
        <f t="shared" si="1"/>
        <v>1454</v>
      </c>
      <c r="U35" s="23">
        <f t="shared" si="1"/>
        <v>1400</v>
      </c>
      <c r="V35" s="23">
        <f t="shared" si="1"/>
        <v>1329</v>
      </c>
      <c r="W35" s="23">
        <f t="shared" si="1"/>
        <v>1441</v>
      </c>
      <c r="X35" s="23">
        <f t="shared" si="1"/>
        <v>1516</v>
      </c>
      <c r="Y35" s="23">
        <f t="shared" si="1"/>
        <v>1357</v>
      </c>
      <c r="Z35" s="23">
        <f t="shared" si="1"/>
        <v>1514</v>
      </c>
      <c r="AA35" s="23">
        <f t="shared" si="1"/>
        <v>1179</v>
      </c>
    </row>
    <row r="36" spans="2:27" s="5" customFormat="1" x14ac:dyDescent="0.2">
      <c r="B36" s="16"/>
      <c r="C36" s="15" t="s">
        <v>3</v>
      </c>
      <c r="D36" s="24">
        <f>D35/D34*100</f>
        <v>13.468992248062014</v>
      </c>
      <c r="E36" s="24">
        <f>E35/E34*100</f>
        <v>12.668032241598883</v>
      </c>
      <c r="F36" s="24">
        <f>F35/F34*100</f>
        <v>12.511406835884284</v>
      </c>
      <c r="G36" s="24">
        <f>G35/G34*100</f>
        <v>10.499325236167341</v>
      </c>
      <c r="H36" s="24">
        <f t="shared" ref="H36:AA36" si="2">H35/H34*100</f>
        <v>13.510066502687437</v>
      </c>
      <c r="I36" s="24">
        <f t="shared" si="2"/>
        <v>12.802994852597099</v>
      </c>
      <c r="J36" s="24">
        <f t="shared" si="2"/>
        <v>12.485949793930311</v>
      </c>
      <c r="K36" s="24">
        <f t="shared" si="2"/>
        <v>12.38166651045084</v>
      </c>
      <c r="L36" s="24">
        <f t="shared" si="2"/>
        <v>12.878643551152599</v>
      </c>
      <c r="M36" s="24">
        <f t="shared" si="2"/>
        <v>13.155017242829507</v>
      </c>
      <c r="N36" s="24">
        <f t="shared" si="2"/>
        <v>10.524700828474993</v>
      </c>
      <c r="O36" s="24">
        <f t="shared" si="2"/>
        <v>12.748903138710766</v>
      </c>
      <c r="P36" s="24">
        <f t="shared" si="2"/>
        <v>11.601123595505618</v>
      </c>
      <c r="Q36" s="24">
        <f t="shared" si="2"/>
        <v>11.784886416318962</v>
      </c>
      <c r="R36" s="24">
        <f t="shared" si="2"/>
        <v>13.511259382819016</v>
      </c>
      <c r="S36" s="24">
        <f t="shared" si="2"/>
        <v>12.200536490611414</v>
      </c>
      <c r="T36" s="24">
        <f t="shared" si="2"/>
        <v>12.548545784068352</v>
      </c>
      <c r="U36" s="24">
        <f t="shared" si="2"/>
        <v>12.365306482953542</v>
      </c>
      <c r="V36" s="24">
        <f t="shared" si="2"/>
        <v>12.014102332308806</v>
      </c>
      <c r="W36" s="24">
        <f t="shared" si="2"/>
        <v>13.432140193885161</v>
      </c>
      <c r="X36" s="24">
        <f t="shared" si="2"/>
        <v>14.790243902439023</v>
      </c>
      <c r="Y36" s="24">
        <f t="shared" si="2"/>
        <v>11.789748045178106</v>
      </c>
      <c r="Z36" s="24">
        <f t="shared" si="2"/>
        <v>13.191600592489328</v>
      </c>
      <c r="AA36" s="24">
        <f t="shared" si="2"/>
        <v>12.177236108242099</v>
      </c>
    </row>
    <row r="37" spans="2:27" s="5" customFormat="1" x14ac:dyDescent="0.2">
      <c r="B37" s="16" t="s">
        <v>339</v>
      </c>
      <c r="C37" s="15" t="s">
        <v>2</v>
      </c>
      <c r="D37" s="23">
        <f>D12+D14+D16</f>
        <v>3048760</v>
      </c>
      <c r="E37" s="23">
        <f>E12+E14+E16</f>
        <v>665550</v>
      </c>
      <c r="F37" s="23">
        <f>F12+F14+F16</f>
        <v>24934</v>
      </c>
      <c r="G37" s="23">
        <f>G12+G14+G16</f>
        <v>1412</v>
      </c>
      <c r="H37" s="23">
        <f t="shared" ref="H37:AA37" si="3">H12+H14+H16</f>
        <v>1270</v>
      </c>
      <c r="I37" s="23">
        <f t="shared" si="3"/>
        <v>1091</v>
      </c>
      <c r="J37" s="23">
        <f t="shared" si="3"/>
        <v>1024</v>
      </c>
      <c r="K37" s="23">
        <f t="shared" si="3"/>
        <v>1026</v>
      </c>
      <c r="L37" s="23">
        <f t="shared" si="3"/>
        <v>1280</v>
      </c>
      <c r="M37" s="23">
        <f t="shared" si="3"/>
        <v>1465</v>
      </c>
      <c r="N37" s="23">
        <f t="shared" si="3"/>
        <v>882</v>
      </c>
      <c r="O37" s="23">
        <f t="shared" si="3"/>
        <v>1256</v>
      </c>
      <c r="P37" s="23">
        <f t="shared" si="3"/>
        <v>1287</v>
      </c>
      <c r="Q37" s="23">
        <f t="shared" si="3"/>
        <v>1121</v>
      </c>
      <c r="R37" s="23">
        <f t="shared" si="3"/>
        <v>1470</v>
      </c>
      <c r="S37" s="23">
        <f t="shared" si="3"/>
        <v>1125</v>
      </c>
      <c r="T37" s="23">
        <f t="shared" si="3"/>
        <v>893</v>
      </c>
      <c r="U37" s="23">
        <f t="shared" si="3"/>
        <v>1086</v>
      </c>
      <c r="V37" s="23">
        <f t="shared" si="3"/>
        <v>1128</v>
      </c>
      <c r="W37" s="23">
        <f t="shared" si="3"/>
        <v>1200</v>
      </c>
      <c r="X37" s="23">
        <f t="shared" si="3"/>
        <v>1257</v>
      </c>
      <c r="Y37" s="23">
        <f t="shared" si="3"/>
        <v>1313</v>
      </c>
      <c r="Z37" s="23">
        <f t="shared" si="3"/>
        <v>1282</v>
      </c>
      <c r="AA37" s="23">
        <f t="shared" si="3"/>
        <v>1066</v>
      </c>
    </row>
    <row r="38" spans="2:27" s="5" customFormat="1" x14ac:dyDescent="0.2">
      <c r="B38" s="16"/>
      <c r="C38" s="15" t="s">
        <v>3</v>
      </c>
      <c r="D38" s="24">
        <f>D37/D34*100</f>
        <v>6.1249037094967145</v>
      </c>
      <c r="E38" s="24">
        <f>E37/E34*100</f>
        <v>12.596208021866358</v>
      </c>
      <c r="F38" s="24">
        <f>F37/F34*100</f>
        <v>10.783622594833513</v>
      </c>
      <c r="G38" s="24">
        <f>G37/G34*100</f>
        <v>12.703553756185334</v>
      </c>
      <c r="H38" s="24">
        <f t="shared" ref="H38:AA38" si="4">H37/H34*100</f>
        <v>11.569645622665574</v>
      </c>
      <c r="I38" s="24">
        <f t="shared" si="4"/>
        <v>10.210575573233506</v>
      </c>
      <c r="J38" s="24">
        <f t="shared" si="4"/>
        <v>9.5916073435743723</v>
      </c>
      <c r="K38" s="24">
        <f t="shared" si="4"/>
        <v>9.6166463586090547</v>
      </c>
      <c r="L38" s="24">
        <f t="shared" si="4"/>
        <v>12.192798628310154</v>
      </c>
      <c r="M38" s="24">
        <f t="shared" si="4"/>
        <v>12.322314744722011</v>
      </c>
      <c r="N38" s="24">
        <f t="shared" si="4"/>
        <v>9.021172138692851</v>
      </c>
      <c r="O38" s="24">
        <f t="shared" si="4"/>
        <v>10.597367532905839</v>
      </c>
      <c r="P38" s="24">
        <f t="shared" si="4"/>
        <v>12.05056179775281</v>
      </c>
      <c r="Q38" s="24">
        <f t="shared" si="4"/>
        <v>10.394065832174316</v>
      </c>
      <c r="R38" s="24">
        <f t="shared" si="4"/>
        <v>11.145651679429829</v>
      </c>
      <c r="S38" s="24">
        <f t="shared" si="4"/>
        <v>10.406067893811858</v>
      </c>
      <c r="T38" s="24">
        <f t="shared" si="4"/>
        <v>7.7069129196513337</v>
      </c>
      <c r="U38" s="24">
        <f t="shared" si="4"/>
        <v>9.5919448860625334</v>
      </c>
      <c r="V38" s="24">
        <f t="shared" si="4"/>
        <v>10.19707105405894</v>
      </c>
      <c r="W38" s="24">
        <f t="shared" si="4"/>
        <v>11.185682326621924</v>
      </c>
      <c r="X38" s="24">
        <f t="shared" si="4"/>
        <v>12.263414634146342</v>
      </c>
      <c r="Y38" s="24">
        <f t="shared" si="4"/>
        <v>11.407471763683754</v>
      </c>
      <c r="Z38" s="24">
        <f t="shared" si="4"/>
        <v>11.170166419796114</v>
      </c>
      <c r="AA38" s="24">
        <f t="shared" si="4"/>
        <v>11.010121875645527</v>
      </c>
    </row>
    <row r="39" spans="2:27" s="5" customFormat="1" x14ac:dyDescent="0.2">
      <c r="B39" s="16" t="s">
        <v>344</v>
      </c>
      <c r="C39" s="15" t="s">
        <v>2</v>
      </c>
      <c r="D39" s="23">
        <f>D18+D20</f>
        <v>14595152</v>
      </c>
      <c r="E39" s="23">
        <f>E18+E20</f>
        <v>1389425</v>
      </c>
      <c r="F39" s="23">
        <f>F18+F20</f>
        <v>60171</v>
      </c>
      <c r="G39" s="23">
        <f>G18+G20</f>
        <v>3378</v>
      </c>
      <c r="H39" s="23">
        <f t="shared" ref="H39:AA39" si="5">H18+H20</f>
        <v>3036</v>
      </c>
      <c r="I39" s="23">
        <f t="shared" si="5"/>
        <v>2793</v>
      </c>
      <c r="J39" s="23">
        <f t="shared" si="5"/>
        <v>2852</v>
      </c>
      <c r="K39" s="23">
        <f t="shared" si="5"/>
        <v>2548</v>
      </c>
      <c r="L39" s="23">
        <f t="shared" si="5"/>
        <v>2594</v>
      </c>
      <c r="M39" s="23">
        <f t="shared" si="5"/>
        <v>3208</v>
      </c>
      <c r="N39" s="23">
        <f t="shared" si="5"/>
        <v>2236</v>
      </c>
      <c r="O39" s="23">
        <f t="shared" si="5"/>
        <v>3189</v>
      </c>
      <c r="P39" s="23">
        <f t="shared" si="5"/>
        <v>3275</v>
      </c>
      <c r="Q39" s="23">
        <f t="shared" si="5"/>
        <v>2588</v>
      </c>
      <c r="R39" s="23">
        <f t="shared" si="5"/>
        <v>3514</v>
      </c>
      <c r="S39" s="23">
        <f t="shared" si="5"/>
        <v>3133</v>
      </c>
      <c r="T39" s="23">
        <f t="shared" si="5"/>
        <v>2449</v>
      </c>
      <c r="U39" s="23">
        <f t="shared" si="5"/>
        <v>2897</v>
      </c>
      <c r="V39" s="23">
        <f t="shared" si="5"/>
        <v>2760</v>
      </c>
      <c r="W39" s="23">
        <f t="shared" si="5"/>
        <v>2644</v>
      </c>
      <c r="X39" s="23">
        <f t="shared" si="5"/>
        <v>2639</v>
      </c>
      <c r="Y39" s="23">
        <f t="shared" si="5"/>
        <v>2988</v>
      </c>
      <c r="Z39" s="23">
        <f t="shared" si="5"/>
        <v>3123</v>
      </c>
      <c r="AA39" s="23">
        <f t="shared" si="5"/>
        <v>2327</v>
      </c>
    </row>
    <row r="40" spans="2:27" s="5" customFormat="1" x14ac:dyDescent="0.2">
      <c r="B40" s="16"/>
      <c r="C40" s="15" t="s">
        <v>3</v>
      </c>
      <c r="D40" s="24">
        <f>D39/D34*100</f>
        <v>29.32139644493774</v>
      </c>
      <c r="E40" s="24">
        <f>E39/E34*100</f>
        <v>26.29627575806726</v>
      </c>
      <c r="F40" s="24">
        <f>F39/F34*100</f>
        <v>26.023155336236758</v>
      </c>
      <c r="G40" s="24">
        <f>G39/G34*100</f>
        <v>30.39136302294197</v>
      </c>
      <c r="H40" s="24">
        <f t="shared" ref="H40:AA40" si="6">H39/H34*100</f>
        <v>27.657830008198964</v>
      </c>
      <c r="I40" s="24">
        <f t="shared" si="6"/>
        <v>26.139447824052407</v>
      </c>
      <c r="J40" s="24">
        <f t="shared" si="6"/>
        <v>26.714125140502059</v>
      </c>
      <c r="K40" s="24">
        <f t="shared" si="6"/>
        <v>23.882275752179211</v>
      </c>
      <c r="L40" s="24">
        <f t="shared" si="6"/>
        <v>24.709468470184799</v>
      </c>
      <c r="M40" s="24">
        <f t="shared" si="6"/>
        <v>26.982925393220626</v>
      </c>
      <c r="N40" s="24">
        <f t="shared" si="6"/>
        <v>22.870001022808633</v>
      </c>
      <c r="O40" s="24">
        <f t="shared" si="6"/>
        <v>26.906851164360447</v>
      </c>
      <c r="P40" s="24">
        <f t="shared" si="6"/>
        <v>30.664794007490638</v>
      </c>
      <c r="Q40" s="24">
        <f t="shared" si="6"/>
        <v>23.996291145108948</v>
      </c>
      <c r="R40" s="24">
        <f t="shared" si="6"/>
        <v>26.643414967017971</v>
      </c>
      <c r="S40" s="24">
        <f t="shared" si="6"/>
        <v>28.979742854500046</v>
      </c>
      <c r="T40" s="24">
        <f t="shared" si="6"/>
        <v>21.135755588159142</v>
      </c>
      <c r="U40" s="24">
        <f t="shared" si="6"/>
        <v>25.587352057940294</v>
      </c>
      <c r="V40" s="24">
        <f t="shared" si="6"/>
        <v>24.950280238654855</v>
      </c>
      <c r="W40" s="24">
        <f t="shared" si="6"/>
        <v>24.645786726323639</v>
      </c>
      <c r="X40" s="24">
        <f t="shared" si="6"/>
        <v>25.746341463414634</v>
      </c>
      <c r="Y40" s="24">
        <f t="shared" si="6"/>
        <v>25.960034752389227</v>
      </c>
      <c r="Z40" s="24">
        <f t="shared" si="6"/>
        <v>27.210943626383198</v>
      </c>
      <c r="AA40" s="24">
        <f t="shared" si="6"/>
        <v>24.03429043586036</v>
      </c>
    </row>
    <row r="41" spans="2:27" s="5" customFormat="1" x14ac:dyDescent="0.2">
      <c r="B41" s="16" t="s">
        <v>23</v>
      </c>
      <c r="C41" s="15" t="s">
        <v>2</v>
      </c>
      <c r="D41" s="23">
        <f>D22</f>
        <v>10276902</v>
      </c>
      <c r="E41" s="23">
        <f>E22</f>
        <v>1031066</v>
      </c>
      <c r="F41" s="23">
        <f>F22</f>
        <v>48377</v>
      </c>
      <c r="G41" s="23">
        <f>G22</f>
        <v>2204</v>
      </c>
      <c r="H41" s="23">
        <f t="shared" ref="H41:AA41" si="7">H22</f>
        <v>2187</v>
      </c>
      <c r="I41" s="23">
        <f t="shared" si="7"/>
        <v>2170</v>
      </c>
      <c r="J41" s="23">
        <f t="shared" si="7"/>
        <v>2246</v>
      </c>
      <c r="K41" s="23">
        <f t="shared" si="7"/>
        <v>2295</v>
      </c>
      <c r="L41" s="23">
        <f t="shared" si="7"/>
        <v>2143</v>
      </c>
      <c r="M41" s="23">
        <f t="shared" si="7"/>
        <v>2486</v>
      </c>
      <c r="N41" s="23">
        <f t="shared" si="7"/>
        <v>2108</v>
      </c>
      <c r="O41" s="23">
        <f t="shared" si="7"/>
        <v>2529</v>
      </c>
      <c r="P41" s="23">
        <f t="shared" si="7"/>
        <v>2149</v>
      </c>
      <c r="Q41" s="23">
        <f t="shared" si="7"/>
        <v>2278</v>
      </c>
      <c r="R41" s="23">
        <f t="shared" si="7"/>
        <v>2731</v>
      </c>
      <c r="S41" s="23">
        <f t="shared" si="7"/>
        <v>2304</v>
      </c>
      <c r="T41" s="23">
        <f t="shared" si="7"/>
        <v>2883</v>
      </c>
      <c r="U41" s="23">
        <f t="shared" si="7"/>
        <v>2589</v>
      </c>
      <c r="V41" s="23">
        <f t="shared" si="7"/>
        <v>2235</v>
      </c>
      <c r="W41" s="23">
        <f t="shared" si="7"/>
        <v>2322</v>
      </c>
      <c r="X41" s="23">
        <f t="shared" si="7"/>
        <v>2011</v>
      </c>
      <c r="Y41" s="23">
        <f t="shared" si="7"/>
        <v>2281</v>
      </c>
      <c r="Z41" s="23">
        <f t="shared" si="7"/>
        <v>2201</v>
      </c>
      <c r="AA41" s="23">
        <f t="shared" si="7"/>
        <v>2025</v>
      </c>
    </row>
    <row r="42" spans="2:27" s="5" customFormat="1" x14ac:dyDescent="0.2">
      <c r="C42" s="15" t="s">
        <v>3</v>
      </c>
      <c r="D42" s="24">
        <f>D41/D34*100</f>
        <v>20.646110281535513</v>
      </c>
      <c r="E42" s="24">
        <f>E41/E34*100</f>
        <v>19.513968627862159</v>
      </c>
      <c r="F42" s="24">
        <f>F41/F34*100</f>
        <v>20.922407566786756</v>
      </c>
      <c r="G42" s="24">
        <f>G41/G34*100</f>
        <v>19.82905982905983</v>
      </c>
      <c r="H42" s="24">
        <f t="shared" ref="H42:AA42" si="8">H41/H34*100</f>
        <v>19.923476359661109</v>
      </c>
      <c r="I42" s="24">
        <f t="shared" si="8"/>
        <v>20.308844174075809</v>
      </c>
      <c r="J42" s="24">
        <f t="shared" si="8"/>
        <v>21.037841888347696</v>
      </c>
      <c r="K42" s="24">
        <f t="shared" si="8"/>
        <v>21.510919486362358</v>
      </c>
      <c r="L42" s="24">
        <f t="shared" si="8"/>
        <v>20.413412078491142</v>
      </c>
      <c r="M42" s="24">
        <f t="shared" si="8"/>
        <v>20.910084952477078</v>
      </c>
      <c r="N42" s="24">
        <f t="shared" si="8"/>
        <v>21.560805973202413</v>
      </c>
      <c r="O42" s="24">
        <f t="shared" si="8"/>
        <v>21.33817077286534</v>
      </c>
      <c r="P42" s="24">
        <f t="shared" si="8"/>
        <v>20.121722846441948</v>
      </c>
      <c r="Q42" s="24">
        <f t="shared" si="8"/>
        <v>21.121928604543346</v>
      </c>
      <c r="R42" s="24">
        <f t="shared" si="8"/>
        <v>20.706649480627796</v>
      </c>
      <c r="S42" s="24">
        <f t="shared" si="8"/>
        <v>21.311627046526684</v>
      </c>
      <c r="T42" s="24">
        <f t="shared" si="8"/>
        <v>24.881332527832917</v>
      </c>
      <c r="U42" s="24">
        <f t="shared" si="8"/>
        <v>22.866984631690514</v>
      </c>
      <c r="V42" s="24">
        <f t="shared" si="8"/>
        <v>20.204303019345506</v>
      </c>
      <c r="W42" s="24">
        <f t="shared" si="8"/>
        <v>21.644295302013422</v>
      </c>
      <c r="X42" s="24">
        <f t="shared" si="8"/>
        <v>19.619512195121953</v>
      </c>
      <c r="Y42" s="24">
        <f t="shared" si="8"/>
        <v>19.817549956559514</v>
      </c>
      <c r="Z42" s="24">
        <f t="shared" si="8"/>
        <v>19.177485405593796</v>
      </c>
      <c r="AA42" s="24">
        <f t="shared" si="8"/>
        <v>20.915100185912003</v>
      </c>
    </row>
    <row r="43" spans="2:27" s="5" customFormat="1" x14ac:dyDescent="0.2">
      <c r="B43" s="16" t="s">
        <v>340</v>
      </c>
      <c r="C43" s="15" t="s">
        <v>2</v>
      </c>
      <c r="D43" s="23">
        <f>D24+D26</f>
        <v>7724560</v>
      </c>
      <c r="E43" s="23">
        <f>E24+E26</f>
        <v>789178</v>
      </c>
      <c r="F43" s="23">
        <f>F24+F26</f>
        <v>36923</v>
      </c>
      <c r="G43" s="23">
        <f>G24+G26</f>
        <v>1583</v>
      </c>
      <c r="H43" s="23">
        <f t="shared" ref="H43:AA43" si="9">H24+H26</f>
        <v>1513</v>
      </c>
      <c r="I43" s="23">
        <f t="shared" si="9"/>
        <v>1795</v>
      </c>
      <c r="J43" s="23">
        <f t="shared" si="9"/>
        <v>1801</v>
      </c>
      <c r="K43" s="23">
        <f t="shared" si="9"/>
        <v>1988</v>
      </c>
      <c r="L43" s="23">
        <f t="shared" si="9"/>
        <v>1607</v>
      </c>
      <c r="M43" s="23">
        <f t="shared" si="9"/>
        <v>1570</v>
      </c>
      <c r="N43" s="23">
        <f t="shared" si="9"/>
        <v>1979</v>
      </c>
      <c r="O43" s="23">
        <f t="shared" si="9"/>
        <v>1726</v>
      </c>
      <c r="P43" s="23">
        <f t="shared" si="9"/>
        <v>1250</v>
      </c>
      <c r="Q43" s="23">
        <f t="shared" si="9"/>
        <v>2009</v>
      </c>
      <c r="R43" s="23">
        <f t="shared" si="9"/>
        <v>1858</v>
      </c>
      <c r="S43" s="23">
        <f t="shared" si="9"/>
        <v>1538</v>
      </c>
      <c r="T43" s="23">
        <f t="shared" si="9"/>
        <v>2405</v>
      </c>
      <c r="U43" s="23">
        <f t="shared" si="9"/>
        <v>1850</v>
      </c>
      <c r="V43" s="23">
        <f t="shared" si="9"/>
        <v>2005</v>
      </c>
      <c r="W43" s="23">
        <f t="shared" si="9"/>
        <v>1698</v>
      </c>
      <c r="X43" s="23">
        <f t="shared" si="9"/>
        <v>1387</v>
      </c>
      <c r="Y43" s="23">
        <f t="shared" si="9"/>
        <v>1949</v>
      </c>
      <c r="Z43" s="23">
        <f t="shared" si="9"/>
        <v>1770</v>
      </c>
      <c r="AA43" s="23">
        <f t="shared" si="9"/>
        <v>1642</v>
      </c>
    </row>
    <row r="44" spans="2:27" s="5" customFormat="1" x14ac:dyDescent="0.2">
      <c r="B44" s="16"/>
      <c r="C44" s="15" t="s">
        <v>3</v>
      </c>
      <c r="D44" s="24">
        <f>D43/D34*100</f>
        <v>15.518501357348544</v>
      </c>
      <c r="E44" s="24">
        <f>E43/E34*100</f>
        <v>14.935993169980391</v>
      </c>
      <c r="F44" s="24">
        <f>F43/F34*100</f>
        <v>15.968705264660215</v>
      </c>
      <c r="G44" s="24">
        <f>G43/G34*100</f>
        <v>14.242015294646873</v>
      </c>
      <c r="H44" s="24">
        <f t="shared" ref="H44:AA44" si="10">H43/H34*100</f>
        <v>13.783365218183475</v>
      </c>
      <c r="I44" s="24">
        <f t="shared" si="10"/>
        <v>16.799251286850726</v>
      </c>
      <c r="J44" s="24">
        <f t="shared" si="10"/>
        <v>16.869614087673284</v>
      </c>
      <c r="K44" s="24">
        <f t="shared" si="10"/>
        <v>18.633423938513449</v>
      </c>
      <c r="L44" s="24">
        <f t="shared" si="10"/>
        <v>15.307677652886264</v>
      </c>
      <c r="M44" s="24">
        <f t="shared" si="10"/>
        <v>13.205484060896627</v>
      </c>
      <c r="N44" s="24">
        <f t="shared" si="10"/>
        <v>20.241382837271146</v>
      </c>
      <c r="O44" s="24">
        <f t="shared" si="10"/>
        <v>14.56294296321296</v>
      </c>
      <c r="P44" s="24">
        <f t="shared" si="10"/>
        <v>11.704119850187265</v>
      </c>
      <c r="Q44" s="24">
        <f t="shared" si="10"/>
        <v>18.627723690310617</v>
      </c>
      <c r="R44" s="24">
        <f t="shared" si="10"/>
        <v>14.087497156721509</v>
      </c>
      <c r="S44" s="24">
        <f t="shared" si="10"/>
        <v>14.226251040606789</v>
      </c>
      <c r="T44" s="24">
        <f t="shared" si="10"/>
        <v>20.756019677224476</v>
      </c>
      <c r="U44" s="24">
        <f t="shared" si="10"/>
        <v>16.33986928104575</v>
      </c>
      <c r="V44" s="24">
        <f t="shared" si="10"/>
        <v>18.125112999457603</v>
      </c>
      <c r="W44" s="24">
        <f t="shared" si="10"/>
        <v>15.827740492170022</v>
      </c>
      <c r="X44" s="24">
        <f t="shared" si="10"/>
        <v>13.531707317073172</v>
      </c>
      <c r="Y44" s="24">
        <f t="shared" si="10"/>
        <v>16.933101650738489</v>
      </c>
      <c r="Z44" s="24">
        <f t="shared" si="10"/>
        <v>15.422148645116321</v>
      </c>
      <c r="AA44" s="24">
        <f t="shared" si="10"/>
        <v>16.959305928527161</v>
      </c>
    </row>
    <row r="45" spans="2:27" s="5" customFormat="1" x14ac:dyDescent="0.2">
      <c r="B45" s="16" t="s">
        <v>341</v>
      </c>
      <c r="C45" s="15" t="s">
        <v>2</v>
      </c>
      <c r="D45" s="23">
        <f>D28+D30+D32</f>
        <v>4108246</v>
      </c>
      <c r="E45" s="23">
        <f>E28+E30+E32</f>
        <v>410722</v>
      </c>
      <c r="F45" s="23">
        <f>F28+F30+F32</f>
        <v>17930</v>
      </c>
      <c r="G45" s="23">
        <f>G28+G30+G32</f>
        <v>691</v>
      </c>
      <c r="H45" s="23">
        <f t="shared" ref="H45:AA45" si="11">H28+H30+H32</f>
        <v>742</v>
      </c>
      <c r="I45" s="23">
        <f t="shared" si="11"/>
        <v>807</v>
      </c>
      <c r="J45" s="23">
        <f t="shared" si="11"/>
        <v>831</v>
      </c>
      <c r="K45" s="23">
        <f t="shared" si="11"/>
        <v>957</v>
      </c>
      <c r="L45" s="23">
        <f t="shared" si="11"/>
        <v>808</v>
      </c>
      <c r="M45" s="23">
        <f t="shared" si="11"/>
        <v>724</v>
      </c>
      <c r="N45" s="23">
        <f t="shared" si="11"/>
        <v>1085</v>
      </c>
      <c r="O45" s="23">
        <f t="shared" si="11"/>
        <v>906</v>
      </c>
      <c r="P45" s="23">
        <f t="shared" si="11"/>
        <v>686</v>
      </c>
      <c r="Q45" s="23">
        <f t="shared" si="11"/>
        <v>868</v>
      </c>
      <c r="R45" s="23">
        <f t="shared" si="11"/>
        <v>987</v>
      </c>
      <c r="S45" s="23">
        <f t="shared" si="11"/>
        <v>729</v>
      </c>
      <c r="T45" s="23">
        <f t="shared" si="11"/>
        <v>981</v>
      </c>
      <c r="U45" s="23">
        <f t="shared" si="11"/>
        <v>858</v>
      </c>
      <c r="V45" s="23">
        <f t="shared" si="11"/>
        <v>1016</v>
      </c>
      <c r="W45" s="23">
        <f t="shared" si="11"/>
        <v>839</v>
      </c>
      <c r="X45" s="23">
        <f t="shared" si="11"/>
        <v>748</v>
      </c>
      <c r="Y45" s="23">
        <f t="shared" si="11"/>
        <v>880</v>
      </c>
      <c r="Z45" s="23">
        <f t="shared" si="11"/>
        <v>889</v>
      </c>
      <c r="AA45" s="23">
        <f t="shared" si="11"/>
        <v>898</v>
      </c>
    </row>
    <row r="46" spans="2:27" s="5" customFormat="1" x14ac:dyDescent="0.2">
      <c r="B46" s="16"/>
      <c r="C46" s="15" t="s">
        <v>3</v>
      </c>
      <c r="D46" s="24">
        <f>D45/D34*100</f>
        <v>8.253391924889149</v>
      </c>
      <c r="E46" s="24">
        <f>E45/E34*100</f>
        <v>7.7733299544091263</v>
      </c>
      <c r="F46" s="24">
        <f>F45/F34*100</f>
        <v>7.7544859679700373</v>
      </c>
      <c r="G46" s="24">
        <f>G45/G34*100</f>
        <v>6.2168241115609533</v>
      </c>
      <c r="H46" s="24">
        <f t="shared" ref="H46:AA46" si="12">H45/H34*100</f>
        <v>6.7595882299353187</v>
      </c>
      <c r="I46" s="24">
        <f t="shared" si="12"/>
        <v>7.5526438933083764</v>
      </c>
      <c r="J46" s="24">
        <f t="shared" si="12"/>
        <v>7.783814162607718</v>
      </c>
      <c r="K46" s="24">
        <f t="shared" si="12"/>
        <v>8.9699128315680952</v>
      </c>
      <c r="L46" s="24">
        <f t="shared" si="12"/>
        <v>7.6967041341207851</v>
      </c>
      <c r="M46" s="24">
        <f t="shared" si="12"/>
        <v>6.0896627134325847</v>
      </c>
      <c r="N46" s="24">
        <f t="shared" si="12"/>
        <v>11.097473662677713</v>
      </c>
      <c r="O46" s="24">
        <f t="shared" si="12"/>
        <v>7.6442794465069186</v>
      </c>
      <c r="P46" s="24">
        <f t="shared" si="12"/>
        <v>6.4232209737827715</v>
      </c>
      <c r="Q46" s="24">
        <f t="shared" si="12"/>
        <v>8.0482151135836819</v>
      </c>
      <c r="R46" s="24">
        <f t="shared" si="12"/>
        <v>7.4835089847600278</v>
      </c>
      <c r="S46" s="24">
        <f t="shared" si="12"/>
        <v>6.7431319951900841</v>
      </c>
      <c r="T46" s="24">
        <f t="shared" si="12"/>
        <v>8.4663847415206703</v>
      </c>
      <c r="U46" s="24">
        <f t="shared" si="12"/>
        <v>7.578166401695813</v>
      </c>
      <c r="V46" s="24">
        <f t="shared" si="12"/>
        <v>9.1845959139396118</v>
      </c>
      <c r="W46" s="24">
        <f t="shared" si="12"/>
        <v>7.8206562266964958</v>
      </c>
      <c r="X46" s="24">
        <f t="shared" si="12"/>
        <v>7.2975609756097555</v>
      </c>
      <c r="Y46" s="24">
        <f t="shared" si="12"/>
        <v>7.6455256298870555</v>
      </c>
      <c r="Z46" s="24">
        <f t="shared" si="12"/>
        <v>7.7459266358804566</v>
      </c>
      <c r="AA46" s="24">
        <f t="shared" si="12"/>
        <v>9.2749431935550497</v>
      </c>
    </row>
    <row r="47" spans="2:27" s="5" customFormat="1" x14ac:dyDescent="0.2">
      <c r="B47" s="16" t="s">
        <v>342</v>
      </c>
      <c r="C47" s="15" t="s">
        <v>2</v>
      </c>
      <c r="D47" s="23">
        <f>D12+D14+D16+D18+D20+D22+D24</f>
        <v>31093091</v>
      </c>
      <c r="E47" s="23">
        <f>E12+E14+E16+E18+E20+E22+E24</f>
        <v>3411370</v>
      </c>
      <c r="F47" s="23">
        <f>F12+F14+F16+F18+F20+F22+F24</f>
        <v>148325</v>
      </c>
      <c r="G47" s="23">
        <f>G12+G14+G16+G18+G20+G22+G24</f>
        <v>7636</v>
      </c>
      <c r="H47" s="23">
        <f t="shared" ref="H47:AA47" si="13">H12+H14+H16+H18+H20+H22+H24</f>
        <v>7104</v>
      </c>
      <c r="I47" s="23">
        <f t="shared" si="13"/>
        <v>6774</v>
      </c>
      <c r="J47" s="23">
        <f t="shared" si="13"/>
        <v>6863</v>
      </c>
      <c r="K47" s="23">
        <f t="shared" si="13"/>
        <v>6654</v>
      </c>
      <c r="L47" s="23">
        <f t="shared" si="13"/>
        <v>6655</v>
      </c>
      <c r="M47" s="23">
        <f t="shared" si="13"/>
        <v>7826</v>
      </c>
      <c r="N47" s="23">
        <f t="shared" si="13"/>
        <v>6033</v>
      </c>
      <c r="O47" s="23">
        <f t="shared" si="13"/>
        <v>7676</v>
      </c>
      <c r="P47" s="23">
        <f t="shared" si="13"/>
        <v>7215</v>
      </c>
      <c r="Q47" s="23">
        <f t="shared" si="13"/>
        <v>6746</v>
      </c>
      <c r="R47" s="23">
        <f t="shared" si="13"/>
        <v>8483</v>
      </c>
      <c r="S47" s="23">
        <f t="shared" si="13"/>
        <v>7173</v>
      </c>
      <c r="T47" s="23">
        <f t="shared" si="13"/>
        <v>7195</v>
      </c>
      <c r="U47" s="23">
        <f t="shared" si="13"/>
        <v>7383</v>
      </c>
      <c r="V47" s="23">
        <f t="shared" si="13"/>
        <v>6845</v>
      </c>
      <c r="W47" s="23">
        <f t="shared" si="13"/>
        <v>6860</v>
      </c>
      <c r="X47" s="23">
        <f t="shared" si="13"/>
        <v>6520</v>
      </c>
      <c r="Y47" s="23">
        <f t="shared" si="13"/>
        <v>7336</v>
      </c>
      <c r="Z47" s="23">
        <f t="shared" si="13"/>
        <v>7316</v>
      </c>
      <c r="AA47" s="23">
        <f t="shared" si="13"/>
        <v>6032</v>
      </c>
    </row>
    <row r="48" spans="2:27" s="5" customFormat="1" x14ac:dyDescent="0.2">
      <c r="B48" s="16"/>
      <c r="C48" s="15" t="s">
        <v>3</v>
      </c>
      <c r="D48" s="24">
        <f>D47/D34*100</f>
        <v>62.465457564917834</v>
      </c>
      <c r="E48" s="24">
        <f>E47/E34*100</f>
        <v>64.563633325150988</v>
      </c>
      <c r="F48" s="24">
        <f>F47/F34*100</f>
        <v>64.148585119863682</v>
      </c>
      <c r="G48" s="24">
        <f>G47/G34*100</f>
        <v>68.699955015744479</v>
      </c>
      <c r="H48" s="24">
        <f t="shared" ref="H48:AA48" si="14">H47/H34*100</f>
        <v>64.717135829461597</v>
      </c>
      <c r="I48" s="24">
        <f t="shared" si="14"/>
        <v>63.39728591483388</v>
      </c>
      <c r="J48" s="24">
        <f t="shared" si="14"/>
        <v>64.284376170850507</v>
      </c>
      <c r="K48" s="24">
        <f t="shared" si="14"/>
        <v>62.367607085949949</v>
      </c>
      <c r="L48" s="24">
        <f t="shared" si="14"/>
        <v>63.393027243284436</v>
      </c>
      <c r="M48" s="24">
        <f t="shared" si="14"/>
        <v>65.825553032214657</v>
      </c>
      <c r="N48" s="24">
        <f t="shared" si="14"/>
        <v>61.706044799018102</v>
      </c>
      <c r="O48" s="24">
        <f t="shared" si="14"/>
        <v>64.765440431994605</v>
      </c>
      <c r="P48" s="24">
        <f t="shared" si="14"/>
        <v>67.556179775280896</v>
      </c>
      <c r="Q48" s="24">
        <f t="shared" si="14"/>
        <v>62.549837737598516</v>
      </c>
      <c r="R48" s="24">
        <f t="shared" si="14"/>
        <v>64.318750473879746</v>
      </c>
      <c r="S48" s="24">
        <f t="shared" si="14"/>
        <v>66.349088890944401</v>
      </c>
      <c r="T48" s="24">
        <f t="shared" si="14"/>
        <v>62.0954517994304</v>
      </c>
      <c r="U48" s="24">
        <f t="shared" si="14"/>
        <v>65.209326974032848</v>
      </c>
      <c r="V48" s="24">
        <f t="shared" si="14"/>
        <v>61.878502983185676</v>
      </c>
      <c r="W48" s="24">
        <f t="shared" si="14"/>
        <v>63.944817300521997</v>
      </c>
      <c r="X48" s="24">
        <f t="shared" si="14"/>
        <v>63.609756097560975</v>
      </c>
      <c r="Y48" s="24">
        <f t="shared" si="14"/>
        <v>63.735881841876626</v>
      </c>
      <c r="Z48" s="24">
        <f t="shared" si="14"/>
        <v>63.744881066480787</v>
      </c>
      <c r="AA48" s="24">
        <f t="shared" si="14"/>
        <v>62.301177442677137</v>
      </c>
    </row>
    <row r="49" spans="2:27" s="5" customFormat="1" x14ac:dyDescent="0.2">
      <c r="B49" s="16" t="s">
        <v>330</v>
      </c>
      <c r="C49" s="15" t="s">
        <v>2</v>
      </c>
      <c r="D49" s="23">
        <f>D26+D28+D30+D32</f>
        <v>8660529</v>
      </c>
      <c r="E49" s="23">
        <f>E26+E28+E30+E32</f>
        <v>874571</v>
      </c>
      <c r="F49" s="23">
        <f>F26+F28+F30+F32</f>
        <v>40010</v>
      </c>
      <c r="G49" s="23">
        <f>G26+G28+G30+G32</f>
        <v>1632</v>
      </c>
      <c r="H49" s="23">
        <f t="shared" ref="H49:AA49" si="15">H26+H28+H30+H32</f>
        <v>1644</v>
      </c>
      <c r="I49" s="23">
        <f t="shared" si="15"/>
        <v>1882</v>
      </c>
      <c r="J49" s="23">
        <f t="shared" si="15"/>
        <v>1891</v>
      </c>
      <c r="K49" s="23">
        <f t="shared" si="15"/>
        <v>2160</v>
      </c>
      <c r="L49" s="23">
        <f t="shared" si="15"/>
        <v>1777</v>
      </c>
      <c r="M49" s="23">
        <f t="shared" si="15"/>
        <v>1627</v>
      </c>
      <c r="N49" s="23">
        <f t="shared" si="15"/>
        <v>2257</v>
      </c>
      <c r="O49" s="23">
        <f t="shared" si="15"/>
        <v>1930</v>
      </c>
      <c r="P49" s="23">
        <f t="shared" si="15"/>
        <v>1432</v>
      </c>
      <c r="Q49" s="23">
        <f t="shared" si="15"/>
        <v>2118</v>
      </c>
      <c r="R49" s="23">
        <f t="shared" si="15"/>
        <v>2077</v>
      </c>
      <c r="S49" s="23">
        <f t="shared" si="15"/>
        <v>1656</v>
      </c>
      <c r="T49" s="23">
        <f t="shared" si="15"/>
        <v>2416</v>
      </c>
      <c r="U49" s="23">
        <f t="shared" si="15"/>
        <v>1897</v>
      </c>
      <c r="V49" s="23">
        <f t="shared" si="15"/>
        <v>2299</v>
      </c>
      <c r="W49" s="23">
        <f t="shared" si="15"/>
        <v>1843</v>
      </c>
      <c r="X49" s="23">
        <f t="shared" si="15"/>
        <v>1522</v>
      </c>
      <c r="Y49" s="23">
        <f t="shared" si="15"/>
        <v>2075</v>
      </c>
      <c r="Z49" s="23">
        <f t="shared" si="15"/>
        <v>1949</v>
      </c>
      <c r="AA49" s="23">
        <f t="shared" si="15"/>
        <v>1926</v>
      </c>
    </row>
    <row r="50" spans="2:27" s="5" customFormat="1" x14ac:dyDescent="0.2">
      <c r="B50" s="16"/>
      <c r="C50" s="15" t="s">
        <v>3</v>
      </c>
      <c r="D50" s="7">
        <f>D49/D34*100</f>
        <v>17.398846153289821</v>
      </c>
      <c r="E50" s="7">
        <f>E49/E34*100</f>
        <v>16.552142207034308</v>
      </c>
      <c r="F50" s="7">
        <f>F49/F34*100</f>
        <v>17.303791610623602</v>
      </c>
      <c r="G50" s="7">
        <f>G49/G34*100</f>
        <v>14.682860998650471</v>
      </c>
      <c r="H50" s="7">
        <f t="shared" ref="H50:AA50" si="16">H49/H34*100</f>
        <v>14.976769609182835</v>
      </c>
      <c r="I50" s="7">
        <f t="shared" si="16"/>
        <v>17.613476836686946</v>
      </c>
      <c r="J50" s="7">
        <f t="shared" si="16"/>
        <v>17.712626451854625</v>
      </c>
      <c r="K50" s="7">
        <f t="shared" si="16"/>
        <v>20.245571281282221</v>
      </c>
      <c r="L50" s="7">
        <f t="shared" si="16"/>
        <v>16.927033720708707</v>
      </c>
      <c r="M50" s="7">
        <f t="shared" si="16"/>
        <v>13.684918832534276</v>
      </c>
      <c r="N50" s="7">
        <f t="shared" si="16"/>
        <v>23.084790835634653</v>
      </c>
      <c r="O50" s="7">
        <f t="shared" si="16"/>
        <v>16.284171447856902</v>
      </c>
      <c r="P50" s="7">
        <f t="shared" si="16"/>
        <v>13.408239700374533</v>
      </c>
      <c r="Q50" s="7">
        <f t="shared" si="16"/>
        <v>19.638386648122392</v>
      </c>
      <c r="R50" s="7">
        <f t="shared" si="16"/>
        <v>15.747971794677381</v>
      </c>
      <c r="S50" s="7">
        <f t="shared" si="16"/>
        <v>15.317731939691056</v>
      </c>
      <c r="T50" s="7">
        <f t="shared" si="16"/>
        <v>20.850953654958143</v>
      </c>
      <c r="U50" s="7">
        <f t="shared" si="16"/>
        <v>16.754990284402048</v>
      </c>
      <c r="V50" s="7">
        <f t="shared" si="16"/>
        <v>20.782860242270836</v>
      </c>
      <c r="W50" s="7">
        <f t="shared" si="16"/>
        <v>17.179343773303504</v>
      </c>
      <c r="X50" s="7">
        <f t="shared" si="16"/>
        <v>14.848780487804877</v>
      </c>
      <c r="Y50" s="7">
        <f t="shared" si="16"/>
        <v>18.02780191138141</v>
      </c>
      <c r="Z50" s="7">
        <f t="shared" si="16"/>
        <v>16.981789666289099</v>
      </c>
      <c r="AA50" s="7">
        <f t="shared" si="16"/>
        <v>19.892584176822968</v>
      </c>
    </row>
    <row r="52" spans="2:27" x14ac:dyDescent="0.2">
      <c r="B52" t="s">
        <v>428</v>
      </c>
      <c r="D52">
        <f>(D4+D6+D8+D10+D12+D14+D16)</f>
        <v>9753147</v>
      </c>
      <c r="E52">
        <f t="shared" ref="E52:AA52" si="17">(E4+E6+E8+E10+E12+E14+E16)</f>
        <v>1334895</v>
      </c>
      <c r="F52">
        <f t="shared" si="17"/>
        <v>53863</v>
      </c>
      <c r="G52">
        <f t="shared" si="17"/>
        <v>2579</v>
      </c>
      <c r="H52">
        <f t="shared" si="17"/>
        <v>2753</v>
      </c>
      <c r="I52">
        <f t="shared" si="17"/>
        <v>2459</v>
      </c>
      <c r="J52">
        <f t="shared" si="17"/>
        <v>2357</v>
      </c>
      <c r="K52">
        <f t="shared" si="17"/>
        <v>2347</v>
      </c>
      <c r="L52">
        <f t="shared" si="17"/>
        <v>2632</v>
      </c>
      <c r="M52">
        <f t="shared" si="17"/>
        <v>3029</v>
      </c>
      <c r="N52">
        <f t="shared" si="17"/>
        <v>1911</v>
      </c>
      <c r="O52">
        <f t="shared" si="17"/>
        <v>2767</v>
      </c>
      <c r="P52">
        <f t="shared" si="17"/>
        <v>2526</v>
      </c>
      <c r="Q52">
        <f t="shared" si="17"/>
        <v>2392</v>
      </c>
      <c r="R52">
        <f t="shared" si="17"/>
        <v>3252</v>
      </c>
      <c r="S52">
        <f t="shared" si="17"/>
        <v>2444</v>
      </c>
      <c r="T52">
        <f t="shared" si="17"/>
        <v>2347</v>
      </c>
      <c r="U52">
        <f t="shared" si="17"/>
        <v>2486</v>
      </c>
      <c r="V52">
        <f t="shared" si="17"/>
        <v>2457</v>
      </c>
      <c r="W52">
        <f t="shared" si="17"/>
        <v>2641</v>
      </c>
      <c r="X52">
        <f t="shared" si="17"/>
        <v>2773</v>
      </c>
      <c r="Y52">
        <f t="shared" si="17"/>
        <v>2670</v>
      </c>
      <c r="Z52">
        <f t="shared" si="17"/>
        <v>2796</v>
      </c>
      <c r="AA52">
        <f t="shared" si="17"/>
        <v>2245</v>
      </c>
    </row>
    <row r="53" spans="2:27" x14ac:dyDescent="0.2">
      <c r="D53" s="144">
        <f>(D52/D34)*100</f>
        <v>19.593895957558729</v>
      </c>
      <c r="E53" s="144">
        <f t="shared" ref="E53:AA53" si="18">(E52/E34)*100</f>
        <v>25.264240263465243</v>
      </c>
      <c r="F53" s="144">
        <f t="shared" si="18"/>
        <v>23.295029430717797</v>
      </c>
      <c r="G53" s="144">
        <f t="shared" si="18"/>
        <v>23.202878992352677</v>
      </c>
      <c r="H53" s="144">
        <f t="shared" si="18"/>
        <v>25.079712125353009</v>
      </c>
      <c r="I53" s="144">
        <f t="shared" si="18"/>
        <v>23.013570425830604</v>
      </c>
      <c r="J53" s="144">
        <f t="shared" si="18"/>
        <v>22.077557137504684</v>
      </c>
      <c r="K53" s="144">
        <f t="shared" si="18"/>
        <v>21.998312869059895</v>
      </c>
      <c r="L53" s="144">
        <f t="shared" si="18"/>
        <v>25.071442179462757</v>
      </c>
      <c r="M53" s="144">
        <f t="shared" si="18"/>
        <v>25.477331987551516</v>
      </c>
      <c r="N53" s="144">
        <f t="shared" si="18"/>
        <v>19.545872967167842</v>
      </c>
      <c r="O53" s="144">
        <f t="shared" si="18"/>
        <v>23.346270671616605</v>
      </c>
      <c r="P53" s="144">
        <f t="shared" si="18"/>
        <v>23.651685393258425</v>
      </c>
      <c r="Q53" s="144">
        <f t="shared" si="18"/>
        <v>22.178952248493278</v>
      </c>
      <c r="R53" s="144">
        <f t="shared" si="18"/>
        <v>24.656911062248842</v>
      </c>
      <c r="S53" s="144">
        <f t="shared" si="18"/>
        <v>22.606604384423274</v>
      </c>
      <c r="T53" s="144">
        <f t="shared" si="18"/>
        <v>20.255458703719686</v>
      </c>
      <c r="U53" s="144">
        <f t="shared" si="18"/>
        <v>21.957251369016078</v>
      </c>
      <c r="V53" s="144">
        <f t="shared" si="18"/>
        <v>22.211173386367744</v>
      </c>
      <c r="W53" s="144">
        <f t="shared" si="18"/>
        <v>24.617822520507087</v>
      </c>
      <c r="X53" s="144">
        <f t="shared" si="18"/>
        <v>27.053658536585367</v>
      </c>
      <c r="Y53" s="144">
        <f t="shared" si="18"/>
        <v>23.19721980886186</v>
      </c>
      <c r="Z53" s="144">
        <f t="shared" si="18"/>
        <v>24.361767012285441</v>
      </c>
      <c r="AA53" s="144">
        <f t="shared" si="18"/>
        <v>23.187357983887626</v>
      </c>
    </row>
    <row r="54" spans="2:27" x14ac:dyDescent="0.2">
      <c r="B54" t="s">
        <v>429</v>
      </c>
      <c r="D54">
        <f>D24+D26+D28+D30+D32</f>
        <v>11832806</v>
      </c>
      <c r="E54">
        <f t="shared" ref="E54:AA54" si="19">E24+E26+E28+E30+E32</f>
        <v>1199900</v>
      </c>
      <c r="F54">
        <f t="shared" si="19"/>
        <v>54853</v>
      </c>
      <c r="G54">
        <f t="shared" si="19"/>
        <v>2274</v>
      </c>
      <c r="H54">
        <f t="shared" si="19"/>
        <v>2255</v>
      </c>
      <c r="I54">
        <f t="shared" si="19"/>
        <v>2602</v>
      </c>
      <c r="J54">
        <f t="shared" si="19"/>
        <v>2632</v>
      </c>
      <c r="K54">
        <f t="shared" si="19"/>
        <v>2945</v>
      </c>
      <c r="L54">
        <f t="shared" si="19"/>
        <v>2415</v>
      </c>
      <c r="M54">
        <f t="shared" si="19"/>
        <v>2294</v>
      </c>
      <c r="N54">
        <f t="shared" si="19"/>
        <v>3064</v>
      </c>
      <c r="O54">
        <f t="shared" si="19"/>
        <v>2632</v>
      </c>
      <c r="P54">
        <f t="shared" si="19"/>
        <v>1936</v>
      </c>
      <c r="Q54">
        <f t="shared" si="19"/>
        <v>2877</v>
      </c>
      <c r="R54">
        <f t="shared" si="19"/>
        <v>2845</v>
      </c>
      <c r="S54">
        <f t="shared" si="19"/>
        <v>2267</v>
      </c>
      <c r="T54">
        <f t="shared" si="19"/>
        <v>3386</v>
      </c>
      <c r="U54">
        <f t="shared" si="19"/>
        <v>2708</v>
      </c>
      <c r="V54">
        <f t="shared" si="19"/>
        <v>3021</v>
      </c>
      <c r="W54">
        <f t="shared" si="19"/>
        <v>2537</v>
      </c>
      <c r="X54">
        <f t="shared" si="19"/>
        <v>2135</v>
      </c>
      <c r="Y54">
        <f t="shared" si="19"/>
        <v>2829</v>
      </c>
      <c r="Z54">
        <f t="shared" si="19"/>
        <v>2659</v>
      </c>
      <c r="AA54">
        <f t="shared" si="19"/>
        <v>2540</v>
      </c>
    </row>
    <row r="55" spans="2:27" x14ac:dyDescent="0.2">
      <c r="D55" s="144">
        <f>(D54/D34)*100</f>
        <v>23.771893282237691</v>
      </c>
      <c r="E55" s="144">
        <f t="shared" ref="E55:AA55" si="20">(E54/E34)*100</f>
        <v>22.70932312438952</v>
      </c>
      <c r="F55" s="144">
        <f t="shared" si="20"/>
        <v>23.723191232630253</v>
      </c>
      <c r="G55" s="144">
        <f t="shared" si="20"/>
        <v>20.458839406207826</v>
      </c>
      <c r="H55" s="144">
        <f t="shared" si="20"/>
        <v>20.542953448118794</v>
      </c>
      <c r="I55" s="144">
        <f t="shared" si="20"/>
        <v>24.351895180159104</v>
      </c>
      <c r="J55" s="144">
        <f t="shared" si="20"/>
        <v>24.653428250281003</v>
      </c>
      <c r="K55" s="144">
        <f t="shared" si="20"/>
        <v>27.603336770081544</v>
      </c>
      <c r="L55" s="144">
        <f t="shared" si="20"/>
        <v>23.004381787007048</v>
      </c>
      <c r="M55" s="144">
        <f t="shared" si="20"/>
        <v>19.295146774329211</v>
      </c>
      <c r="N55" s="144">
        <f t="shared" si="20"/>
        <v>31.338856499948857</v>
      </c>
      <c r="O55" s="144">
        <f t="shared" si="20"/>
        <v>22.207222409719879</v>
      </c>
      <c r="P55" s="144">
        <f t="shared" si="20"/>
        <v>18.127340823970037</v>
      </c>
      <c r="Q55" s="144">
        <f t="shared" si="20"/>
        <v>26.675938803894301</v>
      </c>
      <c r="R55" s="144">
        <f t="shared" si="20"/>
        <v>21.57100614148154</v>
      </c>
      <c r="S55" s="144">
        <f t="shared" si="20"/>
        <v>20.969383035796874</v>
      </c>
      <c r="T55" s="144">
        <f t="shared" si="20"/>
        <v>29.222404418745146</v>
      </c>
      <c r="U55" s="144">
        <f t="shared" si="20"/>
        <v>23.918035682741564</v>
      </c>
      <c r="V55" s="144">
        <f t="shared" si="20"/>
        <v>27.30970891339722</v>
      </c>
      <c r="W55" s="144">
        <f t="shared" si="20"/>
        <v>23.648396718866518</v>
      </c>
      <c r="X55" s="144">
        <f t="shared" si="20"/>
        <v>20.829268292682926</v>
      </c>
      <c r="Y55" s="144">
        <f t="shared" si="20"/>
        <v>24.578627280625543</v>
      </c>
      <c r="Z55" s="144">
        <f t="shared" si="20"/>
        <v>23.168075280996774</v>
      </c>
      <c r="AA55" s="144">
        <f t="shared" si="20"/>
        <v>26.234249122082215</v>
      </c>
    </row>
  </sheetData>
  <mergeCells count="16">
    <mergeCell ref="B12:B13"/>
    <mergeCell ref="B30:B31"/>
    <mergeCell ref="B32:B33"/>
    <mergeCell ref="B22:B23"/>
    <mergeCell ref="B24:B25"/>
    <mergeCell ref="B14:B15"/>
    <mergeCell ref="B16:B17"/>
    <mergeCell ref="B18:B19"/>
    <mergeCell ref="B20:B21"/>
    <mergeCell ref="B26:B27"/>
    <mergeCell ref="B28:B29"/>
    <mergeCell ref="B2:B3"/>
    <mergeCell ref="B4:B5"/>
    <mergeCell ref="B6:B7"/>
    <mergeCell ref="B8:B9"/>
    <mergeCell ref="B10:B11"/>
  </mergeCells>
  <phoneticPr fontId="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91"/>
  <sheetViews>
    <sheetView workbookViewId="0">
      <selection activeCell="A92" sqref="A92:IV65536"/>
    </sheetView>
  </sheetViews>
  <sheetFormatPr defaultColWidth="0" defaultRowHeight="12.75" zeroHeight="1" x14ac:dyDescent="0.2"/>
  <cols>
    <col min="1" max="1" width="15.85546875" customWidth="1"/>
    <col min="2" max="2" width="34.85546875" customWidth="1"/>
    <col min="3" max="3" width="0" hidden="1" customWidth="1"/>
    <col min="4" max="4" width="10.140625" bestFit="1" customWidth="1"/>
    <col min="5" max="11" width="9.140625" customWidth="1"/>
  </cols>
  <sheetData>
    <row r="1" spans="1:11" s="25" customFormat="1" ht="18" x14ac:dyDescent="0.25">
      <c r="A1" s="214" t="s">
        <v>319</v>
      </c>
      <c r="B1" s="215"/>
      <c r="C1" s="78"/>
      <c r="D1" s="200" t="s">
        <v>320</v>
      </c>
      <c r="E1" s="201"/>
      <c r="F1" s="201"/>
      <c r="G1" s="201"/>
      <c r="H1" s="201"/>
      <c r="I1" s="201"/>
      <c r="J1" s="201"/>
      <c r="K1" s="201"/>
    </row>
    <row r="2" spans="1:11" s="36" customFormat="1" ht="25.5" x14ac:dyDescent="0.2">
      <c r="A2" s="33"/>
      <c r="B2" s="33"/>
      <c r="C2" s="79"/>
      <c r="D2" s="33" t="s">
        <v>58</v>
      </c>
      <c r="E2" s="34"/>
      <c r="F2" s="79" t="s">
        <v>321</v>
      </c>
      <c r="G2" s="49"/>
      <c r="H2" s="98" t="s">
        <v>322</v>
      </c>
      <c r="I2" s="34"/>
      <c r="J2" s="212" t="str">
        <f>'Ward Selection'!J4</f>
        <v>Penistone West Ward</v>
      </c>
      <c r="K2" s="213"/>
    </row>
    <row r="3" spans="1:11" s="5" customFormat="1" x14ac:dyDescent="0.2">
      <c r="A3" s="51"/>
      <c r="B3" s="52"/>
      <c r="C3" s="80"/>
      <c r="D3" s="19" t="s">
        <v>323</v>
      </c>
      <c r="E3" s="19" t="s">
        <v>3</v>
      </c>
      <c r="F3" s="94" t="s">
        <v>323</v>
      </c>
      <c r="G3" s="50" t="s">
        <v>3</v>
      </c>
      <c r="H3" s="94" t="s">
        <v>323</v>
      </c>
      <c r="I3" s="19" t="s">
        <v>3</v>
      </c>
      <c r="J3" s="102" t="s">
        <v>323</v>
      </c>
      <c r="K3" s="22" t="s">
        <v>3</v>
      </c>
    </row>
    <row r="4" spans="1:11" s="5" customFormat="1" x14ac:dyDescent="0.2">
      <c r="A4" s="32" t="s">
        <v>373</v>
      </c>
      <c r="B4" s="81" t="s">
        <v>333</v>
      </c>
      <c r="C4" s="62"/>
      <c r="D4" s="156">
        <f>'Ward Selection'!D6</f>
        <v>53012456</v>
      </c>
      <c r="E4" s="63">
        <f>'Ward Selection'!E6</f>
        <v>100</v>
      </c>
      <c r="F4" s="156">
        <f>'Ward Selection'!F6</f>
        <v>5283733</v>
      </c>
      <c r="G4" s="63">
        <f>'Ward Selection'!G6</f>
        <v>100</v>
      </c>
      <c r="H4" s="156">
        <f>'Ward Selection'!H6</f>
        <v>231221</v>
      </c>
      <c r="I4" s="63">
        <f>'Ward Selection'!I6</f>
        <v>100</v>
      </c>
      <c r="J4" s="156">
        <f>'Ward Selection'!J6</f>
        <v>11322</v>
      </c>
      <c r="K4" s="146">
        <f>'Ward Selection'!K6</f>
        <v>100</v>
      </c>
    </row>
    <row r="5" spans="1:11" s="5" customFormat="1" x14ac:dyDescent="0.2">
      <c r="A5" s="28" t="s">
        <v>374</v>
      </c>
      <c r="B5" s="82" t="s">
        <v>324</v>
      </c>
      <c r="C5" s="66"/>
      <c r="D5" s="155">
        <f>'Ward Selection'!D7</f>
        <v>26069148</v>
      </c>
      <c r="E5" s="105">
        <f>'Ward Selection'!E7</f>
        <v>49.2</v>
      </c>
      <c r="F5" s="155">
        <f>'Ward Selection'!F7</f>
        <v>2598078</v>
      </c>
      <c r="G5" s="105">
        <f>'Ward Selection'!G7</f>
        <v>49.2</v>
      </c>
      <c r="H5" s="155">
        <f>'Ward Selection'!H7</f>
        <v>113634</v>
      </c>
      <c r="I5" s="105">
        <f>'Ward Selection'!I7</f>
        <v>49.1</v>
      </c>
      <c r="J5" s="155">
        <f>'Ward Selection'!J7</f>
        <v>5608</v>
      </c>
      <c r="K5" s="147">
        <f>'Ward Selection'!K7</f>
        <v>49.5</v>
      </c>
    </row>
    <row r="6" spans="1:11" s="5" customFormat="1" x14ac:dyDescent="0.2">
      <c r="A6" s="28"/>
      <c r="B6" s="82" t="s">
        <v>325</v>
      </c>
      <c r="C6" s="66"/>
      <c r="D6" s="155">
        <f>'Ward Selection'!D8</f>
        <v>26943308</v>
      </c>
      <c r="E6" s="105">
        <f>'Ward Selection'!E8</f>
        <v>50.8</v>
      </c>
      <c r="F6" s="155">
        <f>'Ward Selection'!F8</f>
        <v>2685655</v>
      </c>
      <c r="G6" s="105">
        <f>'Ward Selection'!G8</f>
        <v>50.8</v>
      </c>
      <c r="H6" s="155">
        <f>'Ward Selection'!H8</f>
        <v>117587</v>
      </c>
      <c r="I6" s="105">
        <f>'Ward Selection'!I8</f>
        <v>50.9</v>
      </c>
      <c r="J6" s="155">
        <f>'Ward Selection'!J8</f>
        <v>5714</v>
      </c>
      <c r="K6" s="147">
        <f>'Ward Selection'!K8</f>
        <v>50.5</v>
      </c>
    </row>
    <row r="7" spans="1:11" s="5" customFormat="1" x14ac:dyDescent="0.2">
      <c r="A7" s="28"/>
      <c r="B7" s="83" t="s">
        <v>335</v>
      </c>
      <c r="C7" s="66"/>
      <c r="D7" s="155">
        <f>'Ward Selection'!D9</f>
        <v>52059931</v>
      </c>
      <c r="E7" s="105">
        <f>'Ward Selection'!E9</f>
        <v>98.2</v>
      </c>
      <c r="F7" s="155">
        <f>'Ward Selection'!F9</f>
        <v>5185677</v>
      </c>
      <c r="G7" s="105">
        <f>'Ward Selection'!G9</f>
        <v>98.1</v>
      </c>
      <c r="H7" s="155">
        <f>'Ward Selection'!H9</f>
        <v>229539</v>
      </c>
      <c r="I7" s="105">
        <f>'Ward Selection'!I9</f>
        <v>99.3</v>
      </c>
      <c r="J7" s="155">
        <f>'Ward Selection'!J9</f>
        <v>11306</v>
      </c>
      <c r="K7" s="147">
        <f>'Ward Selection'!K9</f>
        <v>99.9</v>
      </c>
    </row>
    <row r="8" spans="1:11" s="5" customFormat="1" x14ac:dyDescent="0.2">
      <c r="A8" s="28"/>
      <c r="B8" s="83" t="s">
        <v>336</v>
      </c>
      <c r="C8" s="66"/>
      <c r="D8" s="155">
        <f>'Ward Selection'!D10</f>
        <v>952525</v>
      </c>
      <c r="E8" s="105">
        <f>'Ward Selection'!E10</f>
        <v>1.8</v>
      </c>
      <c r="F8" s="155">
        <f>'Ward Selection'!F10</f>
        <v>98056</v>
      </c>
      <c r="G8" s="105">
        <f>'Ward Selection'!G10</f>
        <v>1.9</v>
      </c>
      <c r="H8" s="155">
        <f>'Ward Selection'!H10</f>
        <v>1682</v>
      </c>
      <c r="I8" s="105">
        <f>'Ward Selection'!I10</f>
        <v>0.7</v>
      </c>
      <c r="J8" s="155">
        <f>'Ward Selection'!J10</f>
        <v>16</v>
      </c>
      <c r="K8" s="147">
        <f>'Ward Selection'!K10</f>
        <v>0.1</v>
      </c>
    </row>
    <row r="9" spans="1:11" s="5" customFormat="1" ht="25.5" x14ac:dyDescent="0.2">
      <c r="A9" s="28"/>
      <c r="B9" s="84" t="s">
        <v>315</v>
      </c>
      <c r="C9" s="66"/>
      <c r="D9" s="155">
        <f>'Ward Selection'!D11</f>
        <v>650145</v>
      </c>
      <c r="E9" s="67" t="str">
        <f>'Ward Selection'!E11</f>
        <v>N/A</v>
      </c>
      <c r="F9" s="155">
        <f>'Ward Selection'!F11</f>
        <v>54976</v>
      </c>
      <c r="G9" s="67" t="str">
        <f>'Ward Selection'!G11</f>
        <v>N/A</v>
      </c>
      <c r="H9" s="155">
        <f>'Ward Selection'!H11</f>
        <v>1681</v>
      </c>
      <c r="I9" s="67" t="str">
        <f>'Ward Selection'!I11</f>
        <v>N/A</v>
      </c>
      <c r="J9" s="155">
        <f>'Ward Selection'!J11</f>
        <v>147</v>
      </c>
      <c r="K9" s="157" t="str">
        <f>'Ward Selection'!K11</f>
        <v>N/A</v>
      </c>
    </row>
    <row r="10" spans="1:11" s="5" customFormat="1" x14ac:dyDescent="0.2">
      <c r="A10" s="28"/>
      <c r="B10" s="84" t="s">
        <v>316</v>
      </c>
      <c r="C10" s="66"/>
      <c r="D10" s="155">
        <f>'Ward Selection'!D12</f>
        <v>13027842.85</v>
      </c>
      <c r="E10" s="67" t="str">
        <f>'Ward Selection'!E12</f>
        <v>N/A</v>
      </c>
      <c r="F10" s="155">
        <f>'Ward Selection'!F12</f>
        <v>1540763.62</v>
      </c>
      <c r="G10" s="67" t="str">
        <f>'Ward Selection'!G12</f>
        <v>N/A</v>
      </c>
      <c r="H10" s="155">
        <f>'Ward Selection'!H12</f>
        <v>32905.31</v>
      </c>
      <c r="I10" s="67" t="str">
        <f>'Ward Selection'!I12</f>
        <v>N/A</v>
      </c>
      <c r="J10" s="155">
        <f>'Ward Selection'!J12</f>
        <v>7552.84</v>
      </c>
      <c r="K10" s="157" t="str">
        <f>'Ward Selection'!K12</f>
        <v>N/A</v>
      </c>
    </row>
    <row r="11" spans="1:11" s="5" customFormat="1" ht="16.5" customHeight="1" x14ac:dyDescent="0.2">
      <c r="A11" s="29"/>
      <c r="B11" s="85" t="s">
        <v>317</v>
      </c>
      <c r="C11" s="70"/>
      <c r="D11" s="178">
        <f>'Ward Selection'!D13</f>
        <v>4.0999999999999996</v>
      </c>
      <c r="E11" s="71" t="str">
        <f>'Ward Selection'!E13</f>
        <v>N/A</v>
      </c>
      <c r="F11" s="178">
        <f>'Ward Selection'!F13</f>
        <v>3.4</v>
      </c>
      <c r="G11" s="71" t="str">
        <f>'Ward Selection'!G13</f>
        <v>N/A</v>
      </c>
      <c r="H11" s="178">
        <f>'Ward Selection'!H13</f>
        <v>7</v>
      </c>
      <c r="I11" s="71" t="str">
        <f>'Ward Selection'!I13</f>
        <v>N/A</v>
      </c>
      <c r="J11" s="178">
        <f>'Ward Selection'!J13</f>
        <v>1.5</v>
      </c>
      <c r="K11" s="159" t="str">
        <f>'Ward Selection'!K13</f>
        <v>N/A</v>
      </c>
    </row>
    <row r="12" spans="1:11" s="5" customFormat="1" x14ac:dyDescent="0.2">
      <c r="A12" s="103"/>
      <c r="B12" s="83"/>
      <c r="D12" s="155"/>
      <c r="E12" s="150"/>
      <c r="F12" s="156"/>
      <c r="G12" s="151"/>
      <c r="H12" s="133"/>
      <c r="I12" s="150"/>
      <c r="J12" s="136"/>
      <c r="K12" s="69"/>
    </row>
    <row r="13" spans="1:11" s="5" customFormat="1" x14ac:dyDescent="0.2">
      <c r="A13" s="30" t="s">
        <v>32</v>
      </c>
      <c r="B13" s="86" t="s">
        <v>326</v>
      </c>
      <c r="C13" s="62"/>
      <c r="D13" s="156">
        <f>'Ward Selection'!D15</f>
        <v>3318449</v>
      </c>
      <c r="E13" s="168">
        <f>'Ward Selection'!E15</f>
        <v>6.3</v>
      </c>
      <c r="F13" s="156">
        <f>'Ward Selection'!F15</f>
        <v>328447</v>
      </c>
      <c r="G13" s="168">
        <f>'Ward Selection'!G15</f>
        <v>6.2</v>
      </c>
      <c r="H13" s="156">
        <f>'Ward Selection'!H15</f>
        <v>13957</v>
      </c>
      <c r="I13" s="168">
        <f>'Ward Selection'!I15</f>
        <v>6</v>
      </c>
      <c r="J13" s="156">
        <f>'Ward Selection'!J15</f>
        <v>642</v>
      </c>
      <c r="K13" s="169">
        <f>'Ward Selection'!K15</f>
        <v>5.7</v>
      </c>
    </row>
    <row r="14" spans="1:11" s="5" customFormat="1" x14ac:dyDescent="0.2">
      <c r="A14" s="31"/>
      <c r="B14" s="87" t="s">
        <v>327</v>
      </c>
      <c r="C14" s="66"/>
      <c r="D14" s="155">
        <f>'Ward Selection'!D16</f>
        <v>6704387</v>
      </c>
      <c r="E14" s="105">
        <f>'Ward Selection'!E16</f>
        <v>13.468992248062014</v>
      </c>
      <c r="F14" s="155">
        <f>'Ward Selection'!F16</f>
        <v>669345</v>
      </c>
      <c r="G14" s="105">
        <f>'Ward Selection'!G16</f>
        <v>12.668032241598883</v>
      </c>
      <c r="H14" s="155">
        <f>'Ward Selection'!H16</f>
        <v>28929</v>
      </c>
      <c r="I14" s="105">
        <f>'Ward Selection'!I16</f>
        <v>12.511406835884284</v>
      </c>
      <c r="J14" s="155">
        <f>'Ward Selection'!J16</f>
        <v>1400</v>
      </c>
      <c r="K14" s="147">
        <f>'Ward Selection'!K16</f>
        <v>12.365306482953542</v>
      </c>
    </row>
    <row r="15" spans="1:11" s="5" customFormat="1" x14ac:dyDescent="0.2">
      <c r="A15" s="31"/>
      <c r="B15" s="88" t="s">
        <v>328</v>
      </c>
      <c r="C15" s="66"/>
      <c r="D15" s="155">
        <f>'Ward Selection'!D17</f>
        <v>3048760</v>
      </c>
      <c r="E15" s="105">
        <f>'Ward Selection'!E17</f>
        <v>6.1249037094967145</v>
      </c>
      <c r="F15" s="155">
        <f>'Ward Selection'!F17</f>
        <v>665550</v>
      </c>
      <c r="G15" s="105">
        <f>'Ward Selection'!G17</f>
        <v>12.596208021866358</v>
      </c>
      <c r="H15" s="155">
        <f>'Ward Selection'!H17</f>
        <v>24934</v>
      </c>
      <c r="I15" s="105">
        <f>'Ward Selection'!I17</f>
        <v>10.783622594833513</v>
      </c>
      <c r="J15" s="155">
        <f>'Ward Selection'!J17</f>
        <v>1086</v>
      </c>
      <c r="K15" s="147">
        <f>'Ward Selection'!K17</f>
        <v>9.5919448860625334</v>
      </c>
    </row>
    <row r="16" spans="1:11" s="5" customFormat="1" x14ac:dyDescent="0.2">
      <c r="A16" s="28"/>
      <c r="B16" s="89" t="s">
        <v>358</v>
      </c>
      <c r="C16" s="66"/>
      <c r="D16" s="155">
        <f>'Ward Selection'!D18</f>
        <v>14595152</v>
      </c>
      <c r="E16" s="105">
        <f>'Ward Selection'!E18</f>
        <v>29.32139644493774</v>
      </c>
      <c r="F16" s="155">
        <f>'Ward Selection'!F18</f>
        <v>1389425</v>
      </c>
      <c r="G16" s="105">
        <f>'Ward Selection'!G18</f>
        <v>26.29627575806726</v>
      </c>
      <c r="H16" s="155">
        <f>'Ward Selection'!H18</f>
        <v>60171</v>
      </c>
      <c r="I16" s="105">
        <f>'Ward Selection'!I18</f>
        <v>26.023155336236758</v>
      </c>
      <c r="J16" s="155">
        <f>'Ward Selection'!J18</f>
        <v>2897</v>
      </c>
      <c r="K16" s="147">
        <f>'Ward Selection'!K18</f>
        <v>25.587352057940294</v>
      </c>
    </row>
    <row r="17" spans="1:11" s="5" customFormat="1" x14ac:dyDescent="0.2">
      <c r="A17" s="28"/>
      <c r="B17" s="88" t="s">
        <v>360</v>
      </c>
      <c r="C17" s="66"/>
      <c r="D17" s="155">
        <f>'Ward Selection'!D19</f>
        <v>10276902</v>
      </c>
      <c r="E17" s="105">
        <f>'Ward Selection'!E19</f>
        <v>20.646110281535513</v>
      </c>
      <c r="F17" s="155">
        <f>'Ward Selection'!F19</f>
        <v>1031066</v>
      </c>
      <c r="G17" s="105">
        <f>'Ward Selection'!G19</f>
        <v>19.513968627862159</v>
      </c>
      <c r="H17" s="155">
        <f>'Ward Selection'!H19</f>
        <v>48377</v>
      </c>
      <c r="I17" s="105">
        <f>'Ward Selection'!I19</f>
        <v>20.922407566786756</v>
      </c>
      <c r="J17" s="155">
        <f>'Ward Selection'!J19</f>
        <v>2589</v>
      </c>
      <c r="K17" s="147">
        <f>'Ward Selection'!K19</f>
        <v>22.866984631690514</v>
      </c>
    </row>
    <row r="18" spans="1:11" s="5" customFormat="1" x14ac:dyDescent="0.2">
      <c r="A18" s="31"/>
      <c r="B18" s="88" t="s">
        <v>329</v>
      </c>
      <c r="C18" s="66"/>
      <c r="D18" s="155">
        <f>'Ward Selection'!D20</f>
        <v>7724560</v>
      </c>
      <c r="E18" s="105">
        <f>'Ward Selection'!E20</f>
        <v>15.518501357348544</v>
      </c>
      <c r="F18" s="155">
        <f>'Ward Selection'!F20</f>
        <v>789178</v>
      </c>
      <c r="G18" s="105">
        <f>'Ward Selection'!G20</f>
        <v>14.935993169980391</v>
      </c>
      <c r="H18" s="155">
        <f>'Ward Selection'!H20</f>
        <v>36923</v>
      </c>
      <c r="I18" s="105">
        <f>'Ward Selection'!I20</f>
        <v>15.968705264660215</v>
      </c>
      <c r="J18" s="155">
        <f>'Ward Selection'!J20</f>
        <v>1850</v>
      </c>
      <c r="K18" s="147">
        <f>'Ward Selection'!K20</f>
        <v>16.33986928104575</v>
      </c>
    </row>
    <row r="19" spans="1:11" s="5" customFormat="1" x14ac:dyDescent="0.2">
      <c r="A19" s="31"/>
      <c r="B19" s="88" t="s">
        <v>359</v>
      </c>
      <c r="C19" s="66"/>
      <c r="D19" s="155">
        <f>'Ward Selection'!D21</f>
        <v>4108246</v>
      </c>
      <c r="E19" s="105">
        <f>'Ward Selection'!E21</f>
        <v>8.253391924889149</v>
      </c>
      <c r="F19" s="155">
        <f>'Ward Selection'!F21</f>
        <v>410722</v>
      </c>
      <c r="G19" s="105">
        <f>'Ward Selection'!G21</f>
        <v>7.7733299544091263</v>
      </c>
      <c r="H19" s="155">
        <f>'Ward Selection'!H21</f>
        <v>17930</v>
      </c>
      <c r="I19" s="105">
        <f>'Ward Selection'!I21</f>
        <v>7.7544859679700373</v>
      </c>
      <c r="J19" s="155">
        <f>'Ward Selection'!J21</f>
        <v>858</v>
      </c>
      <c r="K19" s="147">
        <f>'Ward Selection'!K21</f>
        <v>7.578166401695813</v>
      </c>
    </row>
    <row r="20" spans="1:11" s="5" customFormat="1" x14ac:dyDescent="0.2">
      <c r="A20" s="31"/>
      <c r="B20" s="88" t="s">
        <v>331</v>
      </c>
      <c r="C20" s="66"/>
      <c r="D20" s="155">
        <f>'Ward Selection'!D22</f>
        <v>31093091</v>
      </c>
      <c r="E20" s="105">
        <f>'Ward Selection'!E22</f>
        <v>62.465457564917834</v>
      </c>
      <c r="F20" s="155">
        <f>'Ward Selection'!F22</f>
        <v>3411370</v>
      </c>
      <c r="G20" s="105">
        <f>'Ward Selection'!G22</f>
        <v>64.563633325150988</v>
      </c>
      <c r="H20" s="155">
        <f>'Ward Selection'!H22</f>
        <v>148325</v>
      </c>
      <c r="I20" s="105">
        <f>'Ward Selection'!I22</f>
        <v>64.148585119863682</v>
      </c>
      <c r="J20" s="155">
        <f>'Ward Selection'!J22</f>
        <v>7383</v>
      </c>
      <c r="K20" s="147">
        <f>'Ward Selection'!K22</f>
        <v>65.209326974032848</v>
      </c>
    </row>
    <row r="21" spans="1:11" s="5" customFormat="1" x14ac:dyDescent="0.2">
      <c r="A21" s="31"/>
      <c r="B21" s="90" t="s">
        <v>330</v>
      </c>
      <c r="C21" s="66"/>
      <c r="D21" s="155">
        <f>'Ward Selection'!D23</f>
        <v>8660529</v>
      </c>
      <c r="E21" s="105">
        <f>'Ward Selection'!E23</f>
        <v>17.398846153289821</v>
      </c>
      <c r="F21" s="155">
        <f>'Ward Selection'!F23</f>
        <v>874571</v>
      </c>
      <c r="G21" s="105">
        <f>'Ward Selection'!G23</f>
        <v>16.552142207034308</v>
      </c>
      <c r="H21" s="155">
        <f>'Ward Selection'!H23</f>
        <v>40010</v>
      </c>
      <c r="I21" s="105">
        <f>'Ward Selection'!I23</f>
        <v>17.303791610623602</v>
      </c>
      <c r="J21" s="155">
        <f>'Ward Selection'!J23</f>
        <v>1897</v>
      </c>
      <c r="K21" s="147">
        <f>'Ward Selection'!K23</f>
        <v>16.754990284402048</v>
      </c>
    </row>
    <row r="22" spans="1:11" s="5" customFormat="1" x14ac:dyDescent="0.2">
      <c r="A22" s="28"/>
      <c r="B22" s="91" t="s">
        <v>29</v>
      </c>
      <c r="C22" s="66"/>
      <c r="D22" s="155">
        <f>'Ward Selection'!D24</f>
        <v>39.299999999999997</v>
      </c>
      <c r="E22" s="67" t="str">
        <f>'Ward Selection'!E24</f>
        <v>N/A</v>
      </c>
      <c r="F22" s="155">
        <f>'Ward Selection'!F24</f>
        <v>39.4</v>
      </c>
      <c r="G22" s="67" t="str">
        <f>'Ward Selection'!G24</f>
        <v>N/A</v>
      </c>
      <c r="H22" s="155">
        <f>'Ward Selection'!H24</f>
        <v>40.4</v>
      </c>
      <c r="I22" s="67" t="str">
        <f>'Ward Selection'!I24</f>
        <v>N/A</v>
      </c>
      <c r="J22" s="155">
        <f>'Ward Selection'!J24</f>
        <v>41.2</v>
      </c>
      <c r="K22" s="157" t="str">
        <f>'Ward Selection'!K24</f>
        <v>N/A</v>
      </c>
    </row>
    <row r="23" spans="1:11" s="5" customFormat="1" x14ac:dyDescent="0.2">
      <c r="A23" s="29"/>
      <c r="B23" s="92" t="s">
        <v>31</v>
      </c>
      <c r="C23" s="70"/>
      <c r="D23" s="158">
        <f>'Ward Selection'!D25</f>
        <v>39</v>
      </c>
      <c r="E23" s="71" t="str">
        <f>'Ward Selection'!E25</f>
        <v>N/A</v>
      </c>
      <c r="F23" s="158">
        <f>'Ward Selection'!F25</f>
        <v>39</v>
      </c>
      <c r="G23" s="71" t="str">
        <f>'Ward Selection'!G25</f>
        <v>N/A</v>
      </c>
      <c r="H23" s="158">
        <f>'Ward Selection'!H25</f>
        <v>41</v>
      </c>
      <c r="I23" s="71" t="str">
        <f>'Ward Selection'!I25</f>
        <v>N/A</v>
      </c>
      <c r="J23" s="158">
        <f>'Ward Selection'!J25</f>
        <v>43</v>
      </c>
      <c r="K23" s="159" t="str">
        <f>'Ward Selection'!K25</f>
        <v>N/A</v>
      </c>
    </row>
    <row r="24" spans="1:11" s="5" customFormat="1" x14ac:dyDescent="0.2">
      <c r="A24" s="103"/>
      <c r="B24" s="91"/>
      <c r="D24" s="160"/>
      <c r="E24" s="161"/>
      <c r="F24" s="160"/>
      <c r="G24" s="162"/>
      <c r="H24" s="163"/>
      <c r="I24" s="161"/>
      <c r="J24" s="164"/>
      <c r="K24" s="149"/>
    </row>
    <row r="25" spans="1:11" s="5" customFormat="1" x14ac:dyDescent="0.2">
      <c r="A25" s="27" t="s">
        <v>312</v>
      </c>
      <c r="B25" s="93" t="s">
        <v>56</v>
      </c>
      <c r="C25" s="62"/>
      <c r="D25" s="156">
        <f>'Ward Selection'!D27</f>
        <v>53012456</v>
      </c>
      <c r="E25" s="63">
        <f>'Ward Selection'!E27</f>
        <v>100</v>
      </c>
      <c r="F25" s="156">
        <f>'Ward Selection'!F27</f>
        <v>5283733</v>
      </c>
      <c r="G25" s="63">
        <f>'Ward Selection'!G27</f>
        <v>100</v>
      </c>
      <c r="H25" s="156">
        <f>'Ward Selection'!H27</f>
        <v>231221</v>
      </c>
      <c r="I25" s="63">
        <f>'Ward Selection'!I27</f>
        <v>100</v>
      </c>
      <c r="J25" s="156">
        <f>'Ward Selection'!J27</f>
        <v>11322</v>
      </c>
      <c r="K25" s="146">
        <f>'Ward Selection'!K27</f>
        <v>100</v>
      </c>
    </row>
    <row r="26" spans="1:11" s="5" customFormat="1" x14ac:dyDescent="0.2">
      <c r="A26" s="28"/>
      <c r="B26" s="91" t="s">
        <v>103</v>
      </c>
      <c r="C26" s="66"/>
      <c r="D26" s="155">
        <f>'Ward Selection'!D28</f>
        <v>45281142</v>
      </c>
      <c r="E26" s="105">
        <f>'Ward Selection'!E28</f>
        <v>85.4</v>
      </c>
      <c r="F26" s="155">
        <f>'Ward Selection'!F28</f>
        <v>4691956</v>
      </c>
      <c r="G26" s="105">
        <f>'Ward Selection'!G28</f>
        <v>88.8</v>
      </c>
      <c r="H26" s="155">
        <f>'Ward Selection'!H28</f>
        <v>226285</v>
      </c>
      <c r="I26" s="105">
        <f>'Ward Selection'!I28</f>
        <v>97.9</v>
      </c>
      <c r="J26" s="155">
        <f>'Ward Selection'!J28</f>
        <v>11144</v>
      </c>
      <c r="K26" s="147">
        <f>'Ward Selection'!K28</f>
        <v>98.4</v>
      </c>
    </row>
    <row r="27" spans="1:11" s="5" customFormat="1" x14ac:dyDescent="0.2">
      <c r="A27" s="28"/>
      <c r="B27" s="91" t="s">
        <v>104</v>
      </c>
      <c r="C27" s="66"/>
      <c r="D27" s="155">
        <f>'Ward Selection'!D29</f>
        <v>1192879</v>
      </c>
      <c r="E27" s="105">
        <f>'Ward Selection'!E29</f>
        <v>2.2999999999999998</v>
      </c>
      <c r="F27" s="155">
        <f>'Ward Selection'!F29</f>
        <v>84558</v>
      </c>
      <c r="G27" s="105">
        <f>'Ward Selection'!G29</f>
        <v>1.6</v>
      </c>
      <c r="H27" s="155">
        <f>'Ward Selection'!H29</f>
        <v>1630</v>
      </c>
      <c r="I27" s="105">
        <f>'Ward Selection'!I29</f>
        <v>0.7</v>
      </c>
      <c r="J27" s="155">
        <f>'Ward Selection'!J29</f>
        <v>82</v>
      </c>
      <c r="K27" s="147">
        <f>'Ward Selection'!K29</f>
        <v>0.7</v>
      </c>
    </row>
    <row r="28" spans="1:11" s="5" customFormat="1" x14ac:dyDescent="0.2">
      <c r="A28" s="28"/>
      <c r="B28" s="91" t="s">
        <v>105</v>
      </c>
      <c r="C28" s="66"/>
      <c r="D28" s="155">
        <f>'Ward Selection'!D30</f>
        <v>4143403</v>
      </c>
      <c r="E28" s="105">
        <f>'Ward Selection'!E30</f>
        <v>7.8</v>
      </c>
      <c r="F28" s="155">
        <f>'Ward Selection'!F30</f>
        <v>385964</v>
      </c>
      <c r="G28" s="105">
        <f>'Ward Selection'!G30</f>
        <v>7.3</v>
      </c>
      <c r="H28" s="155">
        <f>'Ward Selection'!H30</f>
        <v>1661</v>
      </c>
      <c r="I28" s="105">
        <f>'Ward Selection'!I30</f>
        <v>0.7</v>
      </c>
      <c r="J28" s="155">
        <f>'Ward Selection'!J30</f>
        <v>66</v>
      </c>
      <c r="K28" s="147">
        <f>'Ward Selection'!K30</f>
        <v>0.6</v>
      </c>
    </row>
    <row r="29" spans="1:11" s="5" customFormat="1" x14ac:dyDescent="0.2">
      <c r="A29" s="28"/>
      <c r="B29" s="91" t="s">
        <v>106</v>
      </c>
      <c r="C29" s="66"/>
      <c r="D29" s="155">
        <f>'Ward Selection'!D31</f>
        <v>1846614</v>
      </c>
      <c r="E29" s="105">
        <f>'Ward Selection'!E31</f>
        <v>3.5</v>
      </c>
      <c r="F29" s="155">
        <f>'Ward Selection'!F31</f>
        <v>80345</v>
      </c>
      <c r="G29" s="105">
        <f>'Ward Selection'!G31</f>
        <v>1.5</v>
      </c>
      <c r="H29" s="155">
        <f>'Ward Selection'!H31</f>
        <v>1221</v>
      </c>
      <c r="I29" s="105">
        <f>'Ward Selection'!I31</f>
        <v>0.5</v>
      </c>
      <c r="J29" s="155">
        <f>'Ward Selection'!J31</f>
        <v>20</v>
      </c>
      <c r="K29" s="147">
        <f>'Ward Selection'!K31</f>
        <v>0.2</v>
      </c>
    </row>
    <row r="30" spans="1:11" s="5" customFormat="1" x14ac:dyDescent="0.2">
      <c r="A30" s="29"/>
      <c r="B30" s="92" t="s">
        <v>107</v>
      </c>
      <c r="C30" s="70"/>
      <c r="D30" s="158">
        <f>'Ward Selection'!D32</f>
        <v>548418</v>
      </c>
      <c r="E30" s="106">
        <f>'Ward Selection'!E32</f>
        <v>1</v>
      </c>
      <c r="F30" s="158">
        <f>'Ward Selection'!F32</f>
        <v>40910</v>
      </c>
      <c r="G30" s="106">
        <f>'Ward Selection'!G32</f>
        <v>0.8</v>
      </c>
      <c r="H30" s="158">
        <f>'Ward Selection'!H32</f>
        <v>424</v>
      </c>
      <c r="I30" s="106">
        <f>'Ward Selection'!I32</f>
        <v>0.2</v>
      </c>
      <c r="J30" s="158">
        <f>'Ward Selection'!J32</f>
        <v>10</v>
      </c>
      <c r="K30" s="148">
        <f>'Ward Selection'!K32</f>
        <v>0.1</v>
      </c>
    </row>
    <row r="31" spans="1:11" s="5" customFormat="1" x14ac:dyDescent="0.2">
      <c r="A31" s="165"/>
      <c r="B31" s="166"/>
      <c r="C31" s="167"/>
      <c r="D31" s="160"/>
      <c r="E31" s="161"/>
      <c r="F31" s="160"/>
      <c r="G31" s="162"/>
      <c r="H31" s="163"/>
      <c r="I31" s="161"/>
      <c r="J31" s="164"/>
      <c r="K31" s="149"/>
    </row>
    <row r="32" spans="1:11" s="5" customFormat="1" x14ac:dyDescent="0.2">
      <c r="A32" s="27" t="s">
        <v>68</v>
      </c>
      <c r="B32" s="93" t="s">
        <v>57</v>
      </c>
      <c r="C32" s="62"/>
      <c r="D32" s="156">
        <f>'Ward Selection'!D35</f>
        <v>45675317</v>
      </c>
      <c r="E32" s="168">
        <f>'Ward Selection'!E35</f>
        <v>86.2</v>
      </c>
      <c r="F32" s="156">
        <f>'Ward Selection'!F35</f>
        <v>4819042</v>
      </c>
      <c r="G32" s="168">
        <f>'Ward Selection'!G35</f>
        <v>91.2</v>
      </c>
      <c r="H32" s="156">
        <f>'Ward Selection'!H35</f>
        <v>223418</v>
      </c>
      <c r="I32" s="168">
        <f>'Ward Selection'!I35</f>
        <v>96.6</v>
      </c>
      <c r="J32" s="156">
        <f>'Ward Selection'!J35</f>
        <v>11032</v>
      </c>
      <c r="K32" s="169">
        <f>'Ward Selection'!K35</f>
        <v>97.4</v>
      </c>
    </row>
    <row r="33" spans="1:11" s="5" customFormat="1" x14ac:dyDescent="0.2">
      <c r="A33" s="28"/>
      <c r="B33" s="91" t="s">
        <v>58</v>
      </c>
      <c r="C33" s="66"/>
      <c r="D33" s="155">
        <f>'Ward Selection'!D36</f>
        <v>44246592</v>
      </c>
      <c r="E33" s="105">
        <f>'Ward Selection'!E36</f>
        <v>83.5</v>
      </c>
      <c r="F33" s="155">
        <f>'Ward Selection'!F36</f>
        <v>4706892</v>
      </c>
      <c r="G33" s="105">
        <f>'Ward Selection'!G36</f>
        <v>89.1</v>
      </c>
      <c r="H33" s="155">
        <f>'Ward Selection'!H36</f>
        <v>220224</v>
      </c>
      <c r="I33" s="105">
        <f>'Ward Selection'!I36</f>
        <v>95.2</v>
      </c>
      <c r="J33" s="155">
        <f>'Ward Selection'!J36</f>
        <v>10795</v>
      </c>
      <c r="K33" s="147">
        <f>'Ward Selection'!K36</f>
        <v>95.3</v>
      </c>
    </row>
    <row r="34" spans="1:11" s="5" customFormat="1" x14ac:dyDescent="0.2">
      <c r="A34" s="28"/>
      <c r="B34" s="91" t="s">
        <v>59</v>
      </c>
      <c r="C34" s="66"/>
      <c r="D34" s="155">
        <f>'Ward Selection'!D37</f>
        <v>206735</v>
      </c>
      <c r="E34" s="105">
        <f>'Ward Selection'!E37</f>
        <v>0.4</v>
      </c>
      <c r="F34" s="155">
        <f>'Ward Selection'!F37</f>
        <v>16608</v>
      </c>
      <c r="G34" s="105">
        <f>'Ward Selection'!G37</f>
        <v>0.3</v>
      </c>
      <c r="H34" s="155">
        <f>'Ward Selection'!H37</f>
        <v>454</v>
      </c>
      <c r="I34" s="105">
        <f>'Ward Selection'!I37</f>
        <v>0.2</v>
      </c>
      <c r="J34" s="155">
        <f>'Ward Selection'!J37</f>
        <v>17</v>
      </c>
      <c r="K34" s="147">
        <f>'Ward Selection'!K37</f>
        <v>0.2</v>
      </c>
    </row>
    <row r="35" spans="1:11" s="5" customFormat="1" x14ac:dyDescent="0.2">
      <c r="A35" s="28"/>
      <c r="B35" s="91" t="s">
        <v>60</v>
      </c>
      <c r="C35" s="66"/>
      <c r="D35" s="155">
        <f>'Ward Selection'!D38</f>
        <v>708872</v>
      </c>
      <c r="E35" s="105">
        <f>'Ward Selection'!E38</f>
        <v>1.3</v>
      </c>
      <c r="F35" s="155">
        <f>'Ward Selection'!F38</f>
        <v>68856</v>
      </c>
      <c r="G35" s="105">
        <f>'Ward Selection'!G38</f>
        <v>1.3</v>
      </c>
      <c r="H35" s="155">
        <f>'Ward Selection'!H38</f>
        <v>1894</v>
      </c>
      <c r="I35" s="105">
        <f>'Ward Selection'!I38</f>
        <v>0.8</v>
      </c>
      <c r="J35" s="155">
        <f>'Ward Selection'!J38</f>
        <v>144</v>
      </c>
      <c r="K35" s="147">
        <f>'Ward Selection'!K38</f>
        <v>1.3</v>
      </c>
    </row>
    <row r="36" spans="1:11" s="5" customFormat="1" x14ac:dyDescent="0.2">
      <c r="A36" s="28"/>
      <c r="B36" s="91" t="s">
        <v>61</v>
      </c>
      <c r="C36" s="66"/>
      <c r="D36" s="155">
        <f>'Ward Selection'!D39</f>
        <v>506619</v>
      </c>
      <c r="E36" s="105">
        <f>'Ward Selection'!E39</f>
        <v>1</v>
      </c>
      <c r="F36" s="155">
        <f>'Ward Selection'!F39</f>
        <v>26255</v>
      </c>
      <c r="G36" s="105">
        <f>'Ward Selection'!G39</f>
        <v>0.5</v>
      </c>
      <c r="H36" s="155">
        <f>'Ward Selection'!H39</f>
        <v>843</v>
      </c>
      <c r="I36" s="105">
        <f>'Ward Selection'!I39</f>
        <v>0.4</v>
      </c>
      <c r="J36" s="155">
        <f>'Ward Selection'!J39</f>
        <v>76</v>
      </c>
      <c r="K36" s="147">
        <f>'Ward Selection'!K39</f>
        <v>0.7</v>
      </c>
    </row>
    <row r="37" spans="1:11" s="5" customFormat="1" x14ac:dyDescent="0.2">
      <c r="A37" s="28"/>
      <c r="B37" s="91" t="s">
        <v>62</v>
      </c>
      <c r="C37" s="66"/>
      <c r="D37" s="155">
        <f>'Ward Selection'!D40</f>
        <v>6499</v>
      </c>
      <c r="E37" s="105">
        <f>'Ward Selection'!E40</f>
        <v>0</v>
      </c>
      <c r="F37" s="155">
        <f>'Ward Selection'!F40</f>
        <v>431</v>
      </c>
      <c r="G37" s="105">
        <f>'Ward Selection'!G40</f>
        <v>0</v>
      </c>
      <c r="H37" s="155">
        <f>'Ward Selection'!H40</f>
        <v>3</v>
      </c>
      <c r="I37" s="105">
        <f>'Ward Selection'!I40</f>
        <v>0</v>
      </c>
      <c r="J37" s="155">
        <f>'Ward Selection'!J40</f>
        <v>0</v>
      </c>
      <c r="K37" s="147">
        <f>'Ward Selection'!K40</f>
        <v>0</v>
      </c>
    </row>
    <row r="38" spans="1:11" s="5" customFormat="1" x14ac:dyDescent="0.2">
      <c r="A38" s="28"/>
      <c r="B38" s="91" t="s">
        <v>63</v>
      </c>
      <c r="C38" s="66"/>
      <c r="D38" s="155">
        <f>'Ward Selection'!D41</f>
        <v>395182</v>
      </c>
      <c r="E38" s="105">
        <f>'Ward Selection'!E41</f>
        <v>0.7</v>
      </c>
      <c r="F38" s="155">
        <f>'Ward Selection'!F41</f>
        <v>19986</v>
      </c>
      <c r="G38" s="105">
        <f>'Ward Selection'!G41</f>
        <v>0.4</v>
      </c>
      <c r="H38" s="155">
        <f>'Ward Selection'!H41</f>
        <v>478</v>
      </c>
      <c r="I38" s="105">
        <f>'Ward Selection'!I41</f>
        <v>0.2</v>
      </c>
      <c r="J38" s="155">
        <f>'Ward Selection'!J41</f>
        <v>37</v>
      </c>
      <c r="K38" s="147">
        <f>'Ward Selection'!K41</f>
        <v>0.3</v>
      </c>
    </row>
    <row r="39" spans="1:11" s="5" customFormat="1" x14ac:dyDescent="0.2">
      <c r="A39" s="28"/>
      <c r="B39" s="91" t="s">
        <v>64</v>
      </c>
      <c r="C39" s="66"/>
      <c r="D39" s="155">
        <f>'Ward Selection'!D42</f>
        <v>1980259</v>
      </c>
      <c r="E39" s="105">
        <f>'Ward Selection'!E42</f>
        <v>3.7</v>
      </c>
      <c r="F39" s="155">
        <f>'Ward Selection'!F42</f>
        <v>130647</v>
      </c>
      <c r="G39" s="105">
        <f>'Ward Selection'!G42</f>
        <v>2.5</v>
      </c>
      <c r="H39" s="155">
        <f>'Ward Selection'!H42</f>
        <v>3498</v>
      </c>
      <c r="I39" s="105">
        <f>'Ward Selection'!I42</f>
        <v>1.5</v>
      </c>
      <c r="J39" s="155">
        <f>'Ward Selection'!J42</f>
        <v>109</v>
      </c>
      <c r="K39" s="147">
        <f>'Ward Selection'!K42</f>
        <v>1</v>
      </c>
    </row>
    <row r="40" spans="1:11" s="5" customFormat="1" ht="25.5" x14ac:dyDescent="0.2">
      <c r="A40" s="28"/>
      <c r="B40" s="91" t="s">
        <v>65</v>
      </c>
      <c r="C40" s="66"/>
      <c r="D40" s="155">
        <f>'Ward Selection'!D43</f>
        <v>894908</v>
      </c>
      <c r="E40" s="105">
        <f>'Ward Selection'!E43</f>
        <v>1.7</v>
      </c>
      <c r="F40" s="155">
        <f>'Ward Selection'!F43</f>
        <v>46878</v>
      </c>
      <c r="G40" s="105">
        <f>'Ward Selection'!G43</f>
        <v>0.9</v>
      </c>
      <c r="H40" s="155">
        <f>'Ward Selection'!H43</f>
        <v>1119</v>
      </c>
      <c r="I40" s="105">
        <f>'Ward Selection'!I43</f>
        <v>0.5</v>
      </c>
      <c r="J40" s="155">
        <f>'Ward Selection'!J43</f>
        <v>57</v>
      </c>
      <c r="K40" s="147">
        <f>'Ward Selection'!K43</f>
        <v>0.5</v>
      </c>
    </row>
    <row r="41" spans="1:11" s="5" customFormat="1" ht="25.5" x14ac:dyDescent="0.2">
      <c r="A41" s="28"/>
      <c r="B41" s="91" t="s">
        <v>66</v>
      </c>
      <c r="C41" s="66"/>
      <c r="D41" s="155">
        <f>'Ward Selection'!D44</f>
        <v>1085351</v>
      </c>
      <c r="E41" s="105">
        <f>'Ward Selection'!E44</f>
        <v>2</v>
      </c>
      <c r="F41" s="155">
        <f>'Ward Selection'!F44</f>
        <v>83769</v>
      </c>
      <c r="G41" s="105">
        <f>'Ward Selection'!G44</f>
        <v>1.6</v>
      </c>
      <c r="H41" s="155">
        <f>'Ward Selection'!H44</f>
        <v>2379</v>
      </c>
      <c r="I41" s="105">
        <f>'Ward Selection'!I44</f>
        <v>1</v>
      </c>
      <c r="J41" s="155">
        <f>'Ward Selection'!J44</f>
        <v>52</v>
      </c>
      <c r="K41" s="147">
        <f>'Ward Selection'!K44</f>
        <v>0.5</v>
      </c>
    </row>
    <row r="42" spans="1:11" s="5" customFormat="1" x14ac:dyDescent="0.2">
      <c r="A42" s="29"/>
      <c r="B42" s="92" t="s">
        <v>67</v>
      </c>
      <c r="C42" s="70"/>
      <c r="D42" s="158">
        <f>'Ward Selection'!D45</f>
        <v>4961698</v>
      </c>
      <c r="E42" s="106">
        <f>'Ward Selection'!E45</f>
        <v>9.4</v>
      </c>
      <c r="F42" s="158">
        <f>'Ward Selection'!F45</f>
        <v>314058</v>
      </c>
      <c r="G42" s="106">
        <f>'Ward Selection'!G45</f>
        <v>5.9</v>
      </c>
      <c r="H42" s="158">
        <f>'Ward Selection'!H45</f>
        <v>3827</v>
      </c>
      <c r="I42" s="106">
        <f>'Ward Selection'!I45</f>
        <v>1.7</v>
      </c>
      <c r="J42" s="158">
        <f>'Ward Selection'!J45</f>
        <v>144</v>
      </c>
      <c r="K42" s="148">
        <f>'Ward Selection'!K45</f>
        <v>1.3</v>
      </c>
    </row>
    <row r="43" spans="1:11" s="5" customFormat="1" x14ac:dyDescent="0.2">
      <c r="A43" s="165"/>
      <c r="B43" s="166"/>
      <c r="C43" s="167"/>
      <c r="D43" s="160"/>
      <c r="E43" s="161"/>
      <c r="F43" s="160"/>
      <c r="G43" s="162"/>
      <c r="H43" s="163"/>
      <c r="I43" s="161"/>
      <c r="J43" s="164"/>
      <c r="K43" s="149"/>
    </row>
    <row r="44" spans="1:11" s="5" customFormat="1" x14ac:dyDescent="0.2">
      <c r="A44" s="27" t="s">
        <v>253</v>
      </c>
      <c r="B44" s="93" t="s">
        <v>242</v>
      </c>
      <c r="C44" s="62"/>
      <c r="D44" s="156">
        <f>'Ward Selection'!D47</f>
        <v>53012456</v>
      </c>
      <c r="E44" s="63">
        <f>'Ward Selection'!E47</f>
        <v>100</v>
      </c>
      <c r="F44" s="156">
        <f>'Ward Selection'!F47</f>
        <v>5283733</v>
      </c>
      <c r="G44" s="63">
        <f>'Ward Selection'!G47</f>
        <v>100</v>
      </c>
      <c r="H44" s="156">
        <f>'Ward Selection'!H47</f>
        <v>231221</v>
      </c>
      <c r="I44" s="63">
        <f>'Ward Selection'!I47</f>
        <v>100</v>
      </c>
      <c r="J44" s="156">
        <f>'Ward Selection'!J47</f>
        <v>11322</v>
      </c>
      <c r="K44" s="146">
        <f>'Ward Selection'!K47</f>
        <v>100</v>
      </c>
    </row>
    <row r="45" spans="1:11" s="5" customFormat="1" x14ac:dyDescent="0.2">
      <c r="A45" s="28"/>
      <c r="B45" s="91" t="s">
        <v>243</v>
      </c>
      <c r="C45" s="66"/>
      <c r="D45" s="155">
        <f>'Ward Selection'!D48</f>
        <v>36094120</v>
      </c>
      <c r="E45" s="105">
        <f>'Ward Selection'!E48</f>
        <v>68.099999999999994</v>
      </c>
      <c r="F45" s="155">
        <f>'Ward Selection'!F48</f>
        <v>3556887</v>
      </c>
      <c r="G45" s="105">
        <f>'Ward Selection'!G48</f>
        <v>67.3</v>
      </c>
      <c r="H45" s="155">
        <f>'Ward Selection'!H48</f>
        <v>160677</v>
      </c>
      <c r="I45" s="105">
        <f>'Ward Selection'!I48</f>
        <v>69.5</v>
      </c>
      <c r="J45" s="155">
        <f>'Ward Selection'!J48</f>
        <v>7664</v>
      </c>
      <c r="K45" s="147">
        <f>'Ward Selection'!K48</f>
        <v>67.7</v>
      </c>
    </row>
    <row r="46" spans="1:11" s="5" customFormat="1" x14ac:dyDescent="0.2">
      <c r="A46" s="28"/>
      <c r="B46" s="91" t="s">
        <v>244</v>
      </c>
      <c r="C46" s="66"/>
      <c r="D46" s="155">
        <f>'Ward Selection'!D49</f>
        <v>31479876</v>
      </c>
      <c r="E46" s="105">
        <f>'Ward Selection'!E49</f>
        <v>59.4</v>
      </c>
      <c r="F46" s="155">
        <f>'Ward Selection'!F49</f>
        <v>3143819</v>
      </c>
      <c r="G46" s="105">
        <f>'Ward Selection'!G49</f>
        <v>59.5</v>
      </c>
      <c r="H46" s="155">
        <f>'Ward Selection'!H49</f>
        <v>158287</v>
      </c>
      <c r="I46" s="105">
        <f>'Ward Selection'!I49</f>
        <v>68.5</v>
      </c>
      <c r="J46" s="155">
        <f>'Ward Selection'!J49</f>
        <v>7561</v>
      </c>
      <c r="K46" s="147">
        <f>'Ward Selection'!K49</f>
        <v>66.8</v>
      </c>
    </row>
    <row r="47" spans="1:11" s="5" customFormat="1" x14ac:dyDescent="0.2">
      <c r="A47" s="28"/>
      <c r="B47" s="91" t="s">
        <v>245</v>
      </c>
      <c r="C47" s="66"/>
      <c r="D47" s="155">
        <f>'Ward Selection'!D50</f>
        <v>238626</v>
      </c>
      <c r="E47" s="105">
        <f>'Ward Selection'!E50</f>
        <v>0.5</v>
      </c>
      <c r="F47" s="155">
        <f>'Ward Selection'!F50</f>
        <v>14319</v>
      </c>
      <c r="G47" s="105">
        <f>'Ward Selection'!G50</f>
        <v>0.3</v>
      </c>
      <c r="H47" s="155">
        <f>'Ward Selection'!H50</f>
        <v>344</v>
      </c>
      <c r="I47" s="105">
        <f>'Ward Selection'!I50</f>
        <v>0.1</v>
      </c>
      <c r="J47" s="155">
        <f>'Ward Selection'!J50</f>
        <v>27</v>
      </c>
      <c r="K47" s="147">
        <f>'Ward Selection'!K50</f>
        <v>0.2</v>
      </c>
    </row>
    <row r="48" spans="1:11" s="5" customFormat="1" x14ac:dyDescent="0.2">
      <c r="A48" s="28"/>
      <c r="B48" s="91" t="s">
        <v>246</v>
      </c>
      <c r="C48" s="66"/>
      <c r="D48" s="155">
        <f>'Ward Selection'!D51</f>
        <v>806199</v>
      </c>
      <c r="E48" s="105">
        <f>'Ward Selection'!E51</f>
        <v>1.5</v>
      </c>
      <c r="F48" s="155">
        <f>'Ward Selection'!F51</f>
        <v>24074</v>
      </c>
      <c r="G48" s="105">
        <f>'Ward Selection'!G51</f>
        <v>0.5</v>
      </c>
      <c r="H48" s="155">
        <f>'Ward Selection'!H51</f>
        <v>232</v>
      </c>
      <c r="I48" s="105">
        <f>'Ward Selection'!I51</f>
        <v>0.1</v>
      </c>
      <c r="J48" s="155">
        <f>'Ward Selection'!J51</f>
        <v>1</v>
      </c>
      <c r="K48" s="147">
        <f>'Ward Selection'!K51</f>
        <v>0</v>
      </c>
    </row>
    <row r="49" spans="1:11" s="5" customFormat="1" x14ac:dyDescent="0.2">
      <c r="A49" s="28"/>
      <c r="B49" s="91" t="s">
        <v>247</v>
      </c>
      <c r="C49" s="66"/>
      <c r="D49" s="155">
        <f>'Ward Selection'!D52</f>
        <v>261282</v>
      </c>
      <c r="E49" s="105">
        <f>'Ward Selection'!E52</f>
        <v>0.5</v>
      </c>
      <c r="F49" s="155">
        <f>'Ward Selection'!F52</f>
        <v>9929</v>
      </c>
      <c r="G49" s="105">
        <f>'Ward Selection'!G52</f>
        <v>0.2</v>
      </c>
      <c r="H49" s="155">
        <f>'Ward Selection'!H52</f>
        <v>49</v>
      </c>
      <c r="I49" s="105">
        <f>'Ward Selection'!I52</f>
        <v>0</v>
      </c>
      <c r="J49" s="155">
        <f>'Ward Selection'!J52</f>
        <v>3</v>
      </c>
      <c r="K49" s="147">
        <f>'Ward Selection'!K52</f>
        <v>0</v>
      </c>
    </row>
    <row r="50" spans="1:11" s="5" customFormat="1" x14ac:dyDescent="0.2">
      <c r="A50" s="28"/>
      <c r="B50" s="91" t="s">
        <v>248</v>
      </c>
      <c r="C50" s="66"/>
      <c r="D50" s="155">
        <f>'Ward Selection'!D53</f>
        <v>2660116</v>
      </c>
      <c r="E50" s="105">
        <f>'Ward Selection'!E53</f>
        <v>5</v>
      </c>
      <c r="F50" s="155">
        <f>'Ward Selection'!F53</f>
        <v>326050</v>
      </c>
      <c r="G50" s="105">
        <f>'Ward Selection'!G53</f>
        <v>6.2</v>
      </c>
      <c r="H50" s="155">
        <f>'Ward Selection'!H53</f>
        <v>945</v>
      </c>
      <c r="I50" s="105">
        <f>'Ward Selection'!I53</f>
        <v>0.4</v>
      </c>
      <c r="J50" s="155">
        <f>'Ward Selection'!J53</f>
        <v>8</v>
      </c>
      <c r="K50" s="147">
        <f>'Ward Selection'!K53</f>
        <v>0.1</v>
      </c>
    </row>
    <row r="51" spans="1:11" s="5" customFormat="1" x14ac:dyDescent="0.2">
      <c r="A51" s="28"/>
      <c r="B51" s="91" t="s">
        <v>249</v>
      </c>
      <c r="C51" s="66"/>
      <c r="D51" s="155">
        <f>'Ward Selection'!D54</f>
        <v>420196</v>
      </c>
      <c r="E51" s="105">
        <f>'Ward Selection'!E54</f>
        <v>0.8</v>
      </c>
      <c r="F51" s="155">
        <f>'Ward Selection'!F54</f>
        <v>22179</v>
      </c>
      <c r="G51" s="105">
        <f>'Ward Selection'!G54</f>
        <v>0.4</v>
      </c>
      <c r="H51" s="155">
        <f>'Ward Selection'!H54</f>
        <v>197</v>
      </c>
      <c r="I51" s="105">
        <f>'Ward Selection'!I54</f>
        <v>0.1</v>
      </c>
      <c r="J51" s="155">
        <f>'Ward Selection'!J54</f>
        <v>17</v>
      </c>
      <c r="K51" s="147">
        <f>'Ward Selection'!K54</f>
        <v>0.2</v>
      </c>
    </row>
    <row r="52" spans="1:11" s="5" customFormat="1" x14ac:dyDescent="0.2">
      <c r="A52" s="28"/>
      <c r="B52" s="91" t="s">
        <v>250</v>
      </c>
      <c r="C52" s="66"/>
      <c r="D52" s="155">
        <f>'Ward Selection'!D55</f>
        <v>227825</v>
      </c>
      <c r="E52" s="105">
        <f>'Ward Selection'!E55</f>
        <v>0.4</v>
      </c>
      <c r="F52" s="155">
        <f>'Ward Selection'!F55</f>
        <v>1617</v>
      </c>
      <c r="G52" s="105">
        <f>'Ward Selection'!G55</f>
        <v>0.3</v>
      </c>
      <c r="H52" s="155">
        <f>'Ward Selection'!H55</f>
        <v>623</v>
      </c>
      <c r="I52" s="105">
        <f>'Ward Selection'!I55</f>
        <v>0.3</v>
      </c>
      <c r="J52" s="155">
        <f>'Ward Selection'!J55</f>
        <v>47</v>
      </c>
      <c r="K52" s="147">
        <f>'Ward Selection'!K55</f>
        <v>0.4</v>
      </c>
    </row>
    <row r="53" spans="1:11" s="5" customFormat="1" x14ac:dyDescent="0.2">
      <c r="A53" s="28"/>
      <c r="B53" s="91" t="s">
        <v>251</v>
      </c>
      <c r="C53" s="66"/>
      <c r="D53" s="155">
        <f>'Ward Selection'!D56</f>
        <v>1314232</v>
      </c>
      <c r="E53" s="105">
        <f>'Ward Selection'!E56</f>
        <v>24.7</v>
      </c>
      <c r="F53" s="155">
        <f>'Ward Selection'!F56</f>
        <v>1366219</v>
      </c>
      <c r="G53" s="105">
        <f>'Ward Selection'!G56</f>
        <v>25.9</v>
      </c>
      <c r="H53" s="155">
        <f>'Ward Selection'!H56</f>
        <v>55536</v>
      </c>
      <c r="I53" s="105">
        <f>'Ward Selection'!I56</f>
        <v>24</v>
      </c>
      <c r="J53" s="155">
        <f>'Ward Selection'!J56</f>
        <v>2889</v>
      </c>
      <c r="K53" s="147">
        <f>'Ward Selection'!K56</f>
        <v>25.5</v>
      </c>
    </row>
    <row r="54" spans="1:11" s="5" customFormat="1" x14ac:dyDescent="0.2">
      <c r="A54" s="29"/>
      <c r="B54" s="92" t="s">
        <v>252</v>
      </c>
      <c r="C54" s="70"/>
      <c r="D54" s="158">
        <f>'Ward Selection'!D57</f>
        <v>3804104</v>
      </c>
      <c r="E54" s="106">
        <f>'Ward Selection'!E57</f>
        <v>7.2</v>
      </c>
      <c r="F54" s="158">
        <f>'Ward Selection'!F57</f>
        <v>360627</v>
      </c>
      <c r="G54" s="106">
        <f>'Ward Selection'!G57</f>
        <v>6.8</v>
      </c>
      <c r="H54" s="158">
        <f>'Ward Selection'!H57</f>
        <v>15008</v>
      </c>
      <c r="I54" s="106">
        <f>'Ward Selection'!I57</f>
        <v>6.5</v>
      </c>
      <c r="J54" s="158">
        <f>'Ward Selection'!J57</f>
        <v>769</v>
      </c>
      <c r="K54" s="148">
        <f>'Ward Selection'!K57</f>
        <v>6.8</v>
      </c>
    </row>
    <row r="55" spans="1:11" s="5" customFormat="1" x14ac:dyDescent="0.2">
      <c r="A55" s="165"/>
      <c r="B55" s="166"/>
      <c r="C55" s="167"/>
      <c r="D55" s="160"/>
      <c r="E55" s="161"/>
      <c r="F55" s="160"/>
      <c r="G55" s="162"/>
      <c r="H55" s="163"/>
      <c r="I55" s="161"/>
      <c r="J55" s="164"/>
      <c r="K55" s="149"/>
    </row>
    <row r="56" spans="1:11" s="5" customFormat="1" x14ac:dyDescent="0.2">
      <c r="A56" s="27" t="s">
        <v>239</v>
      </c>
      <c r="B56" s="93" t="s">
        <v>56</v>
      </c>
      <c r="C56" s="62"/>
      <c r="D56" s="156">
        <f>'Ward Selection'!D59</f>
        <v>53012456</v>
      </c>
      <c r="E56" s="63">
        <f>'Ward Selection'!E59</f>
        <v>100</v>
      </c>
      <c r="F56" s="156">
        <f>'Ward Selection'!F59</f>
        <v>5283733</v>
      </c>
      <c r="G56" s="63">
        <f>'Ward Selection'!G59</f>
        <v>100</v>
      </c>
      <c r="H56" s="156">
        <f>'Ward Selection'!H59</f>
        <v>231221</v>
      </c>
      <c r="I56" s="63">
        <f>'Ward Selection'!I59</f>
        <v>100</v>
      </c>
      <c r="J56" s="156">
        <f>'Ward Selection'!J59</f>
        <v>11322</v>
      </c>
      <c r="K56" s="146">
        <f>'Ward Selection'!K59</f>
        <v>100</v>
      </c>
    </row>
    <row r="57" spans="1:11" s="5" customFormat="1" x14ac:dyDescent="0.2">
      <c r="A57" s="28"/>
      <c r="B57" s="91" t="s">
        <v>214</v>
      </c>
      <c r="C57" s="66"/>
      <c r="D57" s="155">
        <f>'Ward Selection'!D60</f>
        <v>8770532</v>
      </c>
      <c r="E57" s="105">
        <f>'Ward Selection'!E60</f>
        <v>16.5</v>
      </c>
      <c r="F57" s="155">
        <f>'Ward Selection'!F60</f>
        <v>1025490</v>
      </c>
      <c r="G57" s="105">
        <f>'Ward Selection'!G60</f>
        <v>19.399999999999999</v>
      </c>
      <c r="H57" s="155">
        <f>'Ward Selection'!H60</f>
        <v>54017</v>
      </c>
      <c r="I57" s="105">
        <f>'Ward Selection'!I60</f>
        <v>23.4</v>
      </c>
      <c r="J57" s="155">
        <f>'Ward Selection'!J60</f>
        <v>2022</v>
      </c>
      <c r="K57" s="147">
        <f>'Ward Selection'!K60</f>
        <v>17.899999999999999</v>
      </c>
    </row>
    <row r="58" spans="1:11" s="5" customFormat="1" x14ac:dyDescent="0.2">
      <c r="A58" s="28"/>
      <c r="B58" s="91" t="s">
        <v>215</v>
      </c>
      <c r="C58" s="66"/>
      <c r="D58" s="155">
        <f>'Ward Selection'!D61</f>
        <v>44854575</v>
      </c>
      <c r="E58" s="105">
        <f>'Ward Selection'!E61</f>
        <v>84.6</v>
      </c>
      <c r="F58" s="155">
        <f>'Ward Selection'!F61</f>
        <v>4290090</v>
      </c>
      <c r="G58" s="105">
        <f>'Ward Selection'!G61</f>
        <v>81.2</v>
      </c>
      <c r="H58" s="155">
        <f>'Ward Selection'!H61</f>
        <v>177623</v>
      </c>
      <c r="I58" s="105">
        <f>'Ward Selection'!I61</f>
        <v>76.8</v>
      </c>
      <c r="J58" s="155">
        <f>'Ward Selection'!J61</f>
        <v>9323</v>
      </c>
      <c r="K58" s="147">
        <f>'Ward Selection'!K61</f>
        <v>82.3</v>
      </c>
    </row>
    <row r="59" spans="1:11" s="5" customFormat="1" x14ac:dyDescent="0.2">
      <c r="A59" s="28"/>
      <c r="B59" s="91" t="s">
        <v>57</v>
      </c>
      <c r="C59" s="66"/>
      <c r="D59" s="155">
        <f>'Ward Selection'!D62</f>
        <v>40174490</v>
      </c>
      <c r="E59" s="105">
        <f>'Ward Selection'!E62</f>
        <v>75.8</v>
      </c>
      <c r="F59" s="155">
        <f>'Ward Selection'!F62</f>
        <v>4021873</v>
      </c>
      <c r="G59" s="105">
        <f>'Ward Selection'!G62</f>
        <v>76.099999999999994</v>
      </c>
      <c r="H59" s="155">
        <f>'Ward Selection'!H62</f>
        <v>173007</v>
      </c>
      <c r="I59" s="105">
        <f>'Ward Selection'!I62</f>
        <v>74.8</v>
      </c>
      <c r="J59" s="155">
        <f>'Ward Selection'!J62</f>
        <v>9178</v>
      </c>
      <c r="K59" s="147">
        <f>'Ward Selection'!K62</f>
        <v>81.099999999999994</v>
      </c>
    </row>
    <row r="60" spans="1:11" s="5" customFormat="1" x14ac:dyDescent="0.2">
      <c r="A60" s="28"/>
      <c r="B60" s="91" t="s">
        <v>216</v>
      </c>
      <c r="C60" s="66"/>
      <c r="D60" s="155">
        <f>'Ward Selection'!D63</f>
        <v>398394</v>
      </c>
      <c r="E60" s="105">
        <f>'Ward Selection'!E63</f>
        <v>0.8</v>
      </c>
      <c r="F60" s="155">
        <f>'Ward Selection'!F63</f>
        <v>17290</v>
      </c>
      <c r="G60" s="105">
        <f>'Ward Selection'!G63</f>
        <v>0.3</v>
      </c>
      <c r="H60" s="155">
        <f>'Ward Selection'!H63</f>
        <v>358</v>
      </c>
      <c r="I60" s="105">
        <f>'Ward Selection'!I63</f>
        <v>0.2</v>
      </c>
      <c r="J60" s="155">
        <f>'Ward Selection'!J63</f>
        <v>19</v>
      </c>
      <c r="K60" s="147">
        <f>'Ward Selection'!K63</f>
        <v>0.2</v>
      </c>
    </row>
    <row r="61" spans="1:11" s="5" customFormat="1" x14ac:dyDescent="0.2">
      <c r="A61" s="28"/>
      <c r="B61" s="91" t="s">
        <v>217</v>
      </c>
      <c r="C61" s="66"/>
      <c r="D61" s="155">
        <f>'Ward Selection'!D64</f>
        <v>1897747</v>
      </c>
      <c r="E61" s="105">
        <f>'Ward Selection'!E64</f>
        <v>3.6</v>
      </c>
      <c r="F61" s="155">
        <f>'Ward Selection'!F64</f>
        <v>108001</v>
      </c>
      <c r="G61" s="105">
        <f>'Ward Selection'!G64</f>
        <v>2</v>
      </c>
      <c r="H61" s="155">
        <f>'Ward Selection'!H64</f>
        <v>2609</v>
      </c>
      <c r="I61" s="105">
        <f>'Ward Selection'!I64</f>
        <v>1.1000000000000001</v>
      </c>
      <c r="J61" s="155">
        <f>'Ward Selection'!J64</f>
        <v>64</v>
      </c>
      <c r="K61" s="147">
        <f>'Ward Selection'!K64</f>
        <v>0.6</v>
      </c>
    </row>
    <row r="62" spans="1:11" s="5" customFormat="1" x14ac:dyDescent="0.2">
      <c r="A62" s="28"/>
      <c r="B62" s="91" t="s">
        <v>218</v>
      </c>
      <c r="C62" s="66"/>
      <c r="D62" s="155">
        <f>'Ward Selection'!D65</f>
        <v>146451</v>
      </c>
      <c r="E62" s="105">
        <f>'Ward Selection'!E65</f>
        <v>0.3</v>
      </c>
      <c r="F62" s="155">
        <f>'Ward Selection'!F65</f>
        <v>5811</v>
      </c>
      <c r="G62" s="105">
        <f>'Ward Selection'!G65</f>
        <v>0.1</v>
      </c>
      <c r="H62" s="155">
        <f>'Ward Selection'!H65</f>
        <v>153</v>
      </c>
      <c r="I62" s="105">
        <f>'Ward Selection'!I65</f>
        <v>0.1</v>
      </c>
      <c r="J62" s="155">
        <f>'Ward Selection'!J65</f>
        <v>3</v>
      </c>
      <c r="K62" s="147">
        <f>'Ward Selection'!K65</f>
        <v>0</v>
      </c>
    </row>
    <row r="63" spans="1:11" s="5" customFormat="1" x14ac:dyDescent="0.2">
      <c r="A63" s="28"/>
      <c r="B63" s="91" t="s">
        <v>219</v>
      </c>
      <c r="C63" s="66"/>
      <c r="D63" s="155">
        <f>'Ward Selection'!D66</f>
        <v>511740</v>
      </c>
      <c r="E63" s="105">
        <f>'Ward Selection'!E66</f>
        <v>1</v>
      </c>
      <c r="F63" s="155">
        <f>'Ward Selection'!F66</f>
        <v>27018</v>
      </c>
      <c r="G63" s="105">
        <f>'Ward Selection'!G66</f>
        <v>0.5</v>
      </c>
      <c r="H63" s="155">
        <f>'Ward Selection'!H66</f>
        <v>530</v>
      </c>
      <c r="I63" s="105">
        <f>'Ward Selection'!I66</f>
        <v>0.2</v>
      </c>
      <c r="J63" s="155">
        <f>'Ward Selection'!J66</f>
        <v>9</v>
      </c>
      <c r="K63" s="147">
        <f>'Ward Selection'!K66</f>
        <v>0.1</v>
      </c>
    </row>
    <row r="64" spans="1:11" s="5" customFormat="1" x14ac:dyDescent="0.2">
      <c r="A64" s="28"/>
      <c r="B64" s="91" t="s">
        <v>220</v>
      </c>
      <c r="C64" s="66"/>
      <c r="D64" s="155">
        <f>'Ward Selection'!D67</f>
        <v>1105306</v>
      </c>
      <c r="E64" s="105">
        <f>'Ward Selection'!E67</f>
        <v>2.1</v>
      </c>
      <c r="F64" s="155">
        <f>'Ward Selection'!F67</f>
        <v>85669</v>
      </c>
      <c r="G64" s="105">
        <f>'Ward Selection'!G67</f>
        <v>1.6</v>
      </c>
      <c r="H64" s="155">
        <f>'Ward Selection'!H67</f>
        <v>606</v>
      </c>
      <c r="I64" s="105">
        <f>'Ward Selection'!I67</f>
        <v>0.3</v>
      </c>
      <c r="J64" s="155">
        <f>'Ward Selection'!J67</f>
        <v>19</v>
      </c>
      <c r="K64" s="147">
        <f>'Ward Selection'!K67</f>
        <v>0.2</v>
      </c>
    </row>
    <row r="65" spans="1:11" s="5" customFormat="1" x14ac:dyDescent="0.2">
      <c r="A65" s="28"/>
      <c r="B65" s="91" t="s">
        <v>221</v>
      </c>
      <c r="C65" s="66"/>
      <c r="D65" s="155">
        <f>'Ward Selection'!D68</f>
        <v>329733</v>
      </c>
      <c r="E65" s="105">
        <f>'Ward Selection'!E68</f>
        <v>0.6</v>
      </c>
      <c r="F65" s="155">
        <f>'Ward Selection'!F68</f>
        <v>14412</v>
      </c>
      <c r="G65" s="105">
        <f>'Ward Selection'!G68</f>
        <v>0.3</v>
      </c>
      <c r="H65" s="155">
        <f>'Ward Selection'!H68</f>
        <v>189</v>
      </c>
      <c r="I65" s="105">
        <f>'Ward Selection'!I68</f>
        <v>0.1</v>
      </c>
      <c r="J65" s="155">
        <f>'Ward Selection'!J68</f>
        <v>14</v>
      </c>
      <c r="K65" s="147">
        <f>'Ward Selection'!K68</f>
        <v>0.1</v>
      </c>
    </row>
    <row r="66" spans="1:11" s="5" customFormat="1" x14ac:dyDescent="0.2">
      <c r="A66" s="28"/>
      <c r="B66" s="91" t="s">
        <v>222</v>
      </c>
      <c r="C66" s="66"/>
      <c r="D66" s="155">
        <f>'Ward Selection'!D69</f>
        <v>8995</v>
      </c>
      <c r="E66" s="105">
        <f>'Ward Selection'!E69</f>
        <v>0</v>
      </c>
      <c r="F66" s="155">
        <f>'Ward Selection'!F69</f>
        <v>570</v>
      </c>
      <c r="G66" s="105">
        <f>'Ward Selection'!G69</f>
        <v>0</v>
      </c>
      <c r="H66" s="155">
        <f>'Ward Selection'!H69</f>
        <v>6</v>
      </c>
      <c r="I66" s="105">
        <f>'Ward Selection'!I69</f>
        <v>0</v>
      </c>
      <c r="J66" s="155">
        <f>'Ward Selection'!J69</f>
        <v>0</v>
      </c>
      <c r="K66" s="147">
        <f>'Ward Selection'!K69</f>
        <v>0</v>
      </c>
    </row>
    <row r="67" spans="1:11" s="5" customFormat="1" x14ac:dyDescent="0.2">
      <c r="A67" s="28"/>
      <c r="B67" s="91" t="s">
        <v>223</v>
      </c>
      <c r="C67" s="66"/>
      <c r="D67" s="155">
        <f>'Ward Selection'!D70</f>
        <v>73390</v>
      </c>
      <c r="E67" s="105">
        <f>'Ward Selection'!E70</f>
        <v>0.1</v>
      </c>
      <c r="F67" s="155">
        <f>'Ward Selection'!F70</f>
        <v>1670</v>
      </c>
      <c r="G67" s="105">
        <f>'Ward Selection'!G70</f>
        <v>0</v>
      </c>
      <c r="H67" s="155">
        <f>'Ward Selection'!H70</f>
        <v>31</v>
      </c>
      <c r="I67" s="105">
        <f>'Ward Selection'!I70</f>
        <v>0</v>
      </c>
      <c r="J67" s="155">
        <f>'Ward Selection'!J70</f>
        <v>10</v>
      </c>
      <c r="K67" s="147">
        <f>'Ward Selection'!K70</f>
        <v>0.1</v>
      </c>
    </row>
    <row r="68" spans="1:11" s="5" customFormat="1" x14ac:dyDescent="0.2">
      <c r="A68" s="28"/>
      <c r="B68" s="91" t="s">
        <v>224</v>
      </c>
      <c r="C68" s="66"/>
      <c r="D68" s="155">
        <f>'Ward Selection'!D71</f>
        <v>206256</v>
      </c>
      <c r="E68" s="105">
        <f>'Ward Selection'!E71</f>
        <v>0.4</v>
      </c>
      <c r="F68" s="155">
        <f>'Ward Selection'!F71</f>
        <v>7661</v>
      </c>
      <c r="G68" s="105">
        <f>'Ward Selection'!G71</f>
        <v>0.1</v>
      </c>
      <c r="H68" s="155">
        <f>'Ward Selection'!H71</f>
        <v>131</v>
      </c>
      <c r="I68" s="105">
        <f>'Ward Selection'!I71</f>
        <v>0.1</v>
      </c>
      <c r="J68" s="155">
        <f>'Ward Selection'!J71</f>
        <v>7</v>
      </c>
      <c r="K68" s="147">
        <f>'Ward Selection'!K71</f>
        <v>0.1</v>
      </c>
    </row>
    <row r="69" spans="1:11" s="5" customFormat="1" x14ac:dyDescent="0.2">
      <c r="A69" s="29"/>
      <c r="B69" s="92" t="s">
        <v>225</v>
      </c>
      <c r="C69" s="70"/>
      <c r="D69" s="158">
        <f>'Ward Selection'!D72</f>
        <v>2073</v>
      </c>
      <c r="E69" s="106">
        <f>'Ward Selection'!E72</f>
        <v>0</v>
      </c>
      <c r="F69" s="158">
        <f>'Ward Selection'!F72</f>
        <v>115</v>
      </c>
      <c r="G69" s="106">
        <f>'Ward Selection'!G72</f>
        <v>0</v>
      </c>
      <c r="H69" s="158">
        <f>'Ward Selection'!H72</f>
        <v>3</v>
      </c>
      <c r="I69" s="106">
        <f>'Ward Selection'!I72</f>
        <v>0</v>
      </c>
      <c r="J69" s="158">
        <f>'Ward Selection'!J72</f>
        <v>0</v>
      </c>
      <c r="K69" s="148">
        <f>'Ward Selection'!K72</f>
        <v>0</v>
      </c>
    </row>
    <row r="70" spans="1:11" s="5" customFormat="1" x14ac:dyDescent="0.2">
      <c r="A70" s="165"/>
      <c r="B70" s="166"/>
      <c r="C70" s="167"/>
      <c r="D70" s="160"/>
      <c r="E70" s="161"/>
      <c r="F70" s="160"/>
      <c r="G70" s="162"/>
      <c r="H70" s="163"/>
      <c r="I70" s="161"/>
      <c r="J70" s="164"/>
      <c r="K70" s="149"/>
    </row>
    <row r="71" spans="1:11" s="5" customFormat="1" x14ac:dyDescent="0.2">
      <c r="A71" s="27" t="s">
        <v>187</v>
      </c>
      <c r="B71" s="93" t="s">
        <v>180</v>
      </c>
      <c r="C71" s="62"/>
      <c r="D71" s="156">
        <f>'Ward Selection'!D80</f>
        <v>42989620</v>
      </c>
      <c r="E71" s="63">
        <f>'Ward Selection'!E80</f>
        <v>100</v>
      </c>
      <c r="F71" s="156">
        <f>'Ward Selection'!F80</f>
        <v>4285941</v>
      </c>
      <c r="G71" s="63">
        <f>'Ward Selection'!G80</f>
        <v>100</v>
      </c>
      <c r="H71" s="156">
        <f>'Ward Selection'!H80</f>
        <v>188335</v>
      </c>
      <c r="I71" s="63">
        <f>'Ward Selection'!I80</f>
        <v>100</v>
      </c>
      <c r="J71" s="156">
        <f>'Ward Selection'!J80</f>
        <v>9280</v>
      </c>
      <c r="K71" s="146">
        <f>'Ward Selection'!K80</f>
        <v>100</v>
      </c>
    </row>
    <row r="72" spans="1:11" s="5" customFormat="1" ht="25.5" x14ac:dyDescent="0.2">
      <c r="A72" s="28"/>
      <c r="B72" s="91" t="s">
        <v>181</v>
      </c>
      <c r="C72" s="66"/>
      <c r="D72" s="155">
        <f>'Ward Selection'!D81</f>
        <v>14889928</v>
      </c>
      <c r="E72" s="105">
        <f>'Ward Selection'!E81</f>
        <v>34.6</v>
      </c>
      <c r="F72" s="155">
        <f>'Ward Selection'!F81</f>
        <v>1453124</v>
      </c>
      <c r="G72" s="105">
        <f>'Ward Selection'!G81</f>
        <v>33.9</v>
      </c>
      <c r="H72" s="155">
        <f>'Ward Selection'!H81</f>
        <v>59269</v>
      </c>
      <c r="I72" s="105">
        <f>'Ward Selection'!I81</f>
        <v>31.5</v>
      </c>
      <c r="J72" s="155">
        <f>'Ward Selection'!J81</f>
        <v>2484</v>
      </c>
      <c r="K72" s="147">
        <f>'Ward Selection'!K81</f>
        <v>26.8</v>
      </c>
    </row>
    <row r="73" spans="1:11" s="5" customFormat="1" x14ac:dyDescent="0.2">
      <c r="A73" s="28"/>
      <c r="B73" s="91" t="s">
        <v>182</v>
      </c>
      <c r="C73" s="66"/>
      <c r="D73" s="155">
        <f>'Ward Selection'!D82</f>
        <v>20029369</v>
      </c>
      <c r="E73" s="105">
        <f>'Ward Selection'!E82</f>
        <v>46.6</v>
      </c>
      <c r="F73" s="155">
        <f>'Ward Selection'!F82</f>
        <v>2005463</v>
      </c>
      <c r="G73" s="105">
        <f>'Ward Selection'!G82</f>
        <v>46.8</v>
      </c>
      <c r="H73" s="155">
        <f>'Ward Selection'!H82</f>
        <v>89780</v>
      </c>
      <c r="I73" s="105">
        <f>'Ward Selection'!I82</f>
        <v>47.7</v>
      </c>
      <c r="J73" s="155">
        <f>'Ward Selection'!J82</f>
        <v>5075</v>
      </c>
      <c r="K73" s="147">
        <f>'Ward Selection'!K82</f>
        <v>54.7</v>
      </c>
    </row>
    <row r="74" spans="1:11" s="5" customFormat="1" ht="25.5" x14ac:dyDescent="0.2">
      <c r="A74" s="28"/>
      <c r="B74" s="91" t="s">
        <v>183</v>
      </c>
      <c r="C74" s="66"/>
      <c r="D74" s="155">
        <f>'Ward Selection'!D83</f>
        <v>100288</v>
      </c>
      <c r="E74" s="105">
        <f>'Ward Selection'!E83</f>
        <v>0.2</v>
      </c>
      <c r="F74" s="155">
        <f>'Ward Selection'!F83</f>
        <v>8474</v>
      </c>
      <c r="G74" s="105">
        <f>'Ward Selection'!G83</f>
        <v>0.2</v>
      </c>
      <c r="H74" s="155">
        <f>'Ward Selection'!H83</f>
        <v>311</v>
      </c>
      <c r="I74" s="105">
        <f>'Ward Selection'!I83</f>
        <v>0.2</v>
      </c>
      <c r="J74" s="155">
        <f>'Ward Selection'!J83</f>
        <v>14</v>
      </c>
      <c r="K74" s="147">
        <f>'Ward Selection'!K83</f>
        <v>0.2</v>
      </c>
    </row>
    <row r="75" spans="1:11" s="5" customFormat="1" ht="38.25" x14ac:dyDescent="0.2">
      <c r="A75" s="28"/>
      <c r="B75" s="91" t="s">
        <v>184</v>
      </c>
      <c r="C75" s="66"/>
      <c r="D75" s="155">
        <f>'Ward Selection'!D84</f>
        <v>1141196</v>
      </c>
      <c r="E75" s="105">
        <f>'Ward Selection'!E84</f>
        <v>2.7</v>
      </c>
      <c r="F75" s="155">
        <f>'Ward Selection'!F84</f>
        <v>110247</v>
      </c>
      <c r="G75" s="105">
        <f>'Ward Selection'!G84</f>
        <v>2.6</v>
      </c>
      <c r="H75" s="155">
        <f>'Ward Selection'!H84</f>
        <v>4555</v>
      </c>
      <c r="I75" s="105">
        <f>'Ward Selection'!I84</f>
        <v>2.4</v>
      </c>
      <c r="J75" s="155">
        <f>'Ward Selection'!J84</f>
        <v>225</v>
      </c>
      <c r="K75" s="147">
        <f>'Ward Selection'!K84</f>
        <v>2.4</v>
      </c>
    </row>
    <row r="76" spans="1:11" s="5" customFormat="1" ht="38.25" x14ac:dyDescent="0.2">
      <c r="A76" s="28"/>
      <c r="B76" s="91" t="s">
        <v>185</v>
      </c>
      <c r="C76" s="66"/>
      <c r="D76" s="155">
        <f>'Ward Selection'!D85</f>
        <v>3857137</v>
      </c>
      <c r="E76" s="105">
        <f>'Ward Selection'!E85</f>
        <v>9</v>
      </c>
      <c r="F76" s="155">
        <f>'Ward Selection'!F85</f>
        <v>399528</v>
      </c>
      <c r="G76" s="105">
        <f>'Ward Selection'!G85</f>
        <v>9.3000000000000007</v>
      </c>
      <c r="H76" s="155">
        <f>'Ward Selection'!H85</f>
        <v>19798</v>
      </c>
      <c r="I76" s="105">
        <f>'Ward Selection'!I85</f>
        <v>10.5</v>
      </c>
      <c r="J76" s="155">
        <f>'Ward Selection'!J85</f>
        <v>884</v>
      </c>
      <c r="K76" s="147">
        <f>'Ward Selection'!K85</f>
        <v>9.5</v>
      </c>
    </row>
    <row r="77" spans="1:11" s="5" customFormat="1" ht="25.5" x14ac:dyDescent="0.2">
      <c r="A77" s="29"/>
      <c r="B77" s="92" t="s">
        <v>186</v>
      </c>
      <c r="C77" s="70"/>
      <c r="D77" s="158">
        <f>'Ward Selection'!D86</f>
        <v>2971702</v>
      </c>
      <c r="E77" s="106">
        <f>'Ward Selection'!E86</f>
        <v>6.9</v>
      </c>
      <c r="F77" s="158">
        <f>'Ward Selection'!F86</f>
        <v>309105</v>
      </c>
      <c r="G77" s="106">
        <f>'Ward Selection'!G86</f>
        <v>7.2</v>
      </c>
      <c r="H77" s="158">
        <f>'Ward Selection'!H86</f>
        <v>14622</v>
      </c>
      <c r="I77" s="106">
        <f>'Ward Selection'!I86</f>
        <v>7.8</v>
      </c>
      <c r="J77" s="158">
        <f>'Ward Selection'!J86</f>
        <v>598</v>
      </c>
      <c r="K77" s="148">
        <f>'Ward Selection'!K86</f>
        <v>6.4</v>
      </c>
    </row>
    <row r="78" spans="1:11" s="5" customFormat="1" x14ac:dyDescent="0.2">
      <c r="A78" s="165"/>
      <c r="B78" s="166"/>
      <c r="C78" s="167"/>
      <c r="D78" s="160"/>
      <c r="E78" s="161"/>
      <c r="F78" s="160"/>
      <c r="G78" s="162"/>
      <c r="H78" s="163"/>
      <c r="I78" s="161"/>
      <c r="J78" s="164"/>
      <c r="K78" s="149"/>
    </row>
    <row r="79" spans="1:11" s="5" customFormat="1" ht="25.5" x14ac:dyDescent="0.2">
      <c r="A79" s="28" t="s">
        <v>136</v>
      </c>
      <c r="B79" s="91" t="s">
        <v>131</v>
      </c>
      <c r="C79" s="66"/>
      <c r="D79" s="155">
        <f>'Ward Selection'!D74</f>
        <v>22063368</v>
      </c>
      <c r="E79" s="67">
        <f>'Ward Selection'!E74</f>
        <v>100</v>
      </c>
      <c r="F79" s="155">
        <f>'Ward Selection'!F74</f>
        <v>2224059</v>
      </c>
      <c r="G79" s="67">
        <f>'Ward Selection'!G74</f>
        <v>100</v>
      </c>
      <c r="H79" s="155">
        <f>'Ward Selection'!H74</f>
        <v>100734</v>
      </c>
      <c r="I79" s="67">
        <f>'Ward Selection'!I74</f>
        <v>100</v>
      </c>
      <c r="J79" s="155">
        <f>'Ward Selection'!J74</f>
        <v>4878</v>
      </c>
      <c r="K79" s="157">
        <f>'Ward Selection'!K74</f>
        <v>100</v>
      </c>
    </row>
    <row r="80" spans="1:11" s="5" customFormat="1" ht="38.25" x14ac:dyDescent="0.2">
      <c r="A80" s="28"/>
      <c r="B80" s="91" t="s">
        <v>132</v>
      </c>
      <c r="C80" s="66"/>
      <c r="D80" s="155">
        <f>'Ward Selection'!D75</f>
        <v>20053717</v>
      </c>
      <c r="E80" s="105">
        <f>'Ward Selection'!E75</f>
        <v>90.9</v>
      </c>
      <c r="F80" s="155">
        <f>'Ward Selection'!F75</f>
        <v>2076948</v>
      </c>
      <c r="G80" s="105">
        <f>'Ward Selection'!G75</f>
        <v>93.4</v>
      </c>
      <c r="H80" s="155">
        <f>'Ward Selection'!H75</f>
        <v>98416</v>
      </c>
      <c r="I80" s="105">
        <f>'Ward Selection'!I75</f>
        <v>97.7</v>
      </c>
      <c r="J80" s="155">
        <f>'Ward Selection'!J75</f>
        <v>4818</v>
      </c>
      <c r="K80" s="147">
        <f>'Ward Selection'!K75</f>
        <v>98.8</v>
      </c>
    </row>
    <row r="81" spans="1:11" s="5" customFormat="1" ht="51" x14ac:dyDescent="0.2">
      <c r="A81" s="28"/>
      <c r="B81" s="91" t="s">
        <v>133</v>
      </c>
      <c r="C81" s="66"/>
      <c r="D81" s="155">
        <f>'Ward Selection'!D76</f>
        <v>850510</v>
      </c>
      <c r="E81" s="105">
        <f>'Ward Selection'!E76</f>
        <v>3.9</v>
      </c>
      <c r="F81" s="155">
        <f>'Ward Selection'!F76</f>
        <v>64179</v>
      </c>
      <c r="G81" s="105">
        <f>'Ward Selection'!G76</f>
        <v>2.9</v>
      </c>
      <c r="H81" s="155">
        <f>'Ward Selection'!H76</f>
        <v>813</v>
      </c>
      <c r="I81" s="105">
        <f>'Ward Selection'!I76</f>
        <v>0.8</v>
      </c>
      <c r="J81" s="155">
        <f>'Ward Selection'!J76</f>
        <v>39</v>
      </c>
      <c r="K81" s="147">
        <f>'Ward Selection'!K76</f>
        <v>0.8</v>
      </c>
    </row>
    <row r="82" spans="1:11" s="5" customFormat="1" ht="51" x14ac:dyDescent="0.2">
      <c r="A82" s="28"/>
      <c r="B82" s="91" t="s">
        <v>134</v>
      </c>
      <c r="C82" s="66"/>
      <c r="D82" s="155">
        <f>'Ward Selection'!D77</f>
        <v>178838</v>
      </c>
      <c r="E82" s="105">
        <f>'Ward Selection'!E77</f>
        <v>0.8</v>
      </c>
      <c r="F82" s="155">
        <f>'Ward Selection'!F77</f>
        <v>11773</v>
      </c>
      <c r="G82" s="105">
        <f>'Ward Selection'!G77</f>
        <v>0.5</v>
      </c>
      <c r="H82" s="155">
        <f>'Ward Selection'!H77</f>
        <v>166</v>
      </c>
      <c r="I82" s="105">
        <f>'Ward Selection'!I77</f>
        <v>0.2</v>
      </c>
      <c r="J82" s="155">
        <f>'Ward Selection'!J77</f>
        <v>5</v>
      </c>
      <c r="K82" s="147">
        <f>'Ward Selection'!K77</f>
        <v>0.1</v>
      </c>
    </row>
    <row r="83" spans="1:11" s="5" customFormat="1" ht="38.25" x14ac:dyDescent="0.2">
      <c r="A83" s="29"/>
      <c r="B83" s="92" t="s">
        <v>135</v>
      </c>
      <c r="C83" s="70"/>
      <c r="D83" s="158">
        <f>'Ward Selection'!D78</f>
        <v>980303</v>
      </c>
      <c r="E83" s="106">
        <f>'Ward Selection'!E78</f>
        <v>4.4000000000000004</v>
      </c>
      <c r="F83" s="158">
        <f>'Ward Selection'!F78</f>
        <v>71159</v>
      </c>
      <c r="G83" s="106">
        <f>'Ward Selection'!G78</f>
        <v>3.2</v>
      </c>
      <c r="H83" s="158">
        <f>'Ward Selection'!H78</f>
        <v>1339</v>
      </c>
      <c r="I83" s="106">
        <f>'Ward Selection'!I78</f>
        <v>1.3</v>
      </c>
      <c r="J83" s="158">
        <f>'Ward Selection'!J78</f>
        <v>16</v>
      </c>
      <c r="K83" s="148">
        <f>'Ward Selection'!K78</f>
        <v>0.3</v>
      </c>
    </row>
    <row r="84" spans="1:11" x14ac:dyDescent="0.2"/>
    <row r="85" spans="1:11" s="5" customFormat="1" ht="123" customHeight="1" x14ac:dyDescent="0.2">
      <c r="A85" s="26" t="s">
        <v>410</v>
      </c>
      <c r="B85" s="203" t="s">
        <v>417</v>
      </c>
      <c r="C85" s="196"/>
      <c r="D85" s="196"/>
      <c r="E85" s="196"/>
      <c r="F85" s="196"/>
      <c r="G85" s="196"/>
      <c r="H85" s="196"/>
      <c r="I85" s="196"/>
      <c r="J85" s="196"/>
      <c r="K85" s="197"/>
    </row>
    <row r="86" spans="1:11" s="5" customFormat="1" x14ac:dyDescent="0.2">
      <c r="A86" s="26"/>
      <c r="B86" s="141"/>
      <c r="G86" s="48"/>
      <c r="J86" s="55"/>
      <c r="K86" s="21"/>
    </row>
    <row r="87" spans="1:11" s="5" customFormat="1" x14ac:dyDescent="0.2">
      <c r="A87" s="26"/>
      <c r="B87" s="38" t="s">
        <v>424</v>
      </c>
      <c r="G87" s="48"/>
      <c r="J87" s="55"/>
      <c r="K87" s="21"/>
    </row>
    <row r="88" spans="1:11" s="5" customFormat="1" ht="51.75" customHeight="1" x14ac:dyDescent="0.2">
      <c r="A88" s="26"/>
      <c r="B88" s="211" t="s">
        <v>425</v>
      </c>
      <c r="C88" s="205"/>
      <c r="D88" s="205"/>
      <c r="E88" s="205"/>
      <c r="F88" s="205"/>
      <c r="G88" s="205"/>
      <c r="H88" s="205"/>
      <c r="I88" s="205"/>
      <c r="J88" s="205"/>
      <c r="K88" s="206"/>
    </row>
    <row r="89" spans="1:11" s="5" customFormat="1" x14ac:dyDescent="0.2">
      <c r="A89" s="26"/>
      <c r="G89" s="48"/>
      <c r="J89" s="55"/>
      <c r="K89" s="21"/>
    </row>
    <row r="90" spans="1:11" s="5" customFormat="1" x14ac:dyDescent="0.2">
      <c r="A90" s="26"/>
      <c r="B90" s="143" t="s">
        <v>426</v>
      </c>
      <c r="G90" s="48"/>
      <c r="J90" s="55"/>
      <c r="K90" s="21"/>
    </row>
    <row r="91" spans="1:11" s="5" customFormat="1" ht="90" customHeight="1" x14ac:dyDescent="0.2">
      <c r="A91" s="26"/>
      <c r="B91" s="204" t="s">
        <v>427</v>
      </c>
      <c r="C91" s="205"/>
      <c r="D91" s="205"/>
      <c r="E91" s="205"/>
      <c r="F91" s="205"/>
      <c r="G91" s="205"/>
      <c r="H91" s="205"/>
      <c r="I91" s="205"/>
      <c r="J91" s="205"/>
      <c r="K91" s="206"/>
    </row>
  </sheetData>
  <mergeCells count="6">
    <mergeCell ref="B88:K88"/>
    <mergeCell ref="B91:K91"/>
    <mergeCell ref="J2:K2"/>
    <mergeCell ref="A1:B1"/>
    <mergeCell ref="D1:K1"/>
    <mergeCell ref="B85:K85"/>
  </mergeCells>
  <phoneticPr fontId="15" type="noConversion"/>
  <printOptions horizontalCentered="1"/>
  <pageMargins left="0.70866141732283472" right="0.70866141732283472" top="0.74803149606299213" bottom="0.74803149606299213" header="0.31496062992125984" footer="0.31496062992125984"/>
  <pageSetup paperSize="9" orientation="landscape" r:id="rId1"/>
  <rowBreaks count="4" manualBreakCount="4">
    <brk id="31" max="16383" man="1"/>
    <brk id="55" max="16383" man="1"/>
    <brk id="78" max="16383" man="1"/>
    <brk id="8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97"/>
  <sheetViews>
    <sheetView workbookViewId="0">
      <selection activeCell="A98" sqref="A98:IV65536"/>
    </sheetView>
  </sheetViews>
  <sheetFormatPr defaultColWidth="0" defaultRowHeight="12.75" zeroHeight="1" x14ac:dyDescent="0.2"/>
  <cols>
    <col min="1" max="1" width="15.85546875" customWidth="1"/>
    <col min="2" max="2" width="42.28515625" customWidth="1"/>
    <col min="3" max="3" width="0" hidden="1" customWidth="1"/>
    <col min="4" max="4" width="10.140625" bestFit="1" customWidth="1"/>
    <col min="5" max="5" width="10" customWidth="1"/>
    <col min="6" max="6" width="9.140625" customWidth="1"/>
    <col min="7" max="7" width="7.7109375" customWidth="1"/>
    <col min="8" max="11" width="9.140625" customWidth="1"/>
  </cols>
  <sheetData>
    <row r="1" spans="1:11" s="25" customFormat="1" ht="18" x14ac:dyDescent="0.25">
      <c r="A1" s="198" t="s">
        <v>319</v>
      </c>
      <c r="B1" s="199"/>
      <c r="C1" s="78"/>
      <c r="D1" s="200" t="s">
        <v>320</v>
      </c>
      <c r="E1" s="201"/>
      <c r="F1" s="201"/>
      <c r="G1" s="201"/>
      <c r="H1" s="201"/>
      <c r="I1" s="201"/>
      <c r="J1" s="201"/>
      <c r="K1" s="201"/>
    </row>
    <row r="2" spans="1:11" s="36" customFormat="1" ht="25.5" x14ac:dyDescent="0.2">
      <c r="A2" s="33"/>
      <c r="B2" s="33"/>
      <c r="C2" s="79"/>
      <c r="D2" s="33" t="s">
        <v>58</v>
      </c>
      <c r="E2" s="34"/>
      <c r="F2" s="79" t="s">
        <v>321</v>
      </c>
      <c r="G2" s="49"/>
      <c r="H2" s="98" t="s">
        <v>322</v>
      </c>
      <c r="I2" s="34"/>
      <c r="J2" s="212" t="str">
        <f>'Ward Selection'!J4</f>
        <v>Penistone West Ward</v>
      </c>
      <c r="K2" s="213"/>
    </row>
    <row r="3" spans="1:11" s="5" customFormat="1" x14ac:dyDescent="0.2">
      <c r="A3" s="51"/>
      <c r="B3" s="52"/>
      <c r="C3" s="80"/>
      <c r="D3" s="19" t="s">
        <v>323</v>
      </c>
      <c r="E3" s="172" t="s">
        <v>3</v>
      </c>
      <c r="F3" s="19" t="s">
        <v>323</v>
      </c>
      <c r="G3" s="173" t="s">
        <v>3</v>
      </c>
      <c r="H3" s="19" t="s">
        <v>323</v>
      </c>
      <c r="I3" s="172" t="s">
        <v>3</v>
      </c>
      <c r="J3" s="154" t="s">
        <v>323</v>
      </c>
      <c r="K3" s="22" t="s">
        <v>3</v>
      </c>
    </row>
    <row r="4" spans="1:11" s="5" customFormat="1" x14ac:dyDescent="0.2">
      <c r="A4" s="27" t="s">
        <v>370</v>
      </c>
      <c r="B4" s="93" t="s">
        <v>307</v>
      </c>
      <c r="C4" s="62"/>
      <c r="D4" s="156">
        <f>'Ward Selection'!D119</f>
        <v>22063368</v>
      </c>
      <c r="E4" s="63">
        <f>'Ward Selection'!E119</f>
        <v>100</v>
      </c>
      <c r="F4" s="156">
        <f>'Ward Selection'!F119</f>
        <v>2224059</v>
      </c>
      <c r="G4" s="63">
        <f>'Ward Selection'!G119</f>
        <v>100</v>
      </c>
      <c r="H4" s="156">
        <f>'Ward Selection'!H119</f>
        <v>100734</v>
      </c>
      <c r="I4" s="63">
        <f>'Ward Selection'!I119</f>
        <v>100</v>
      </c>
      <c r="J4" s="156">
        <f>'Ward Selection'!J119</f>
        <v>4878</v>
      </c>
      <c r="K4" s="146">
        <f>'Ward Selection'!K119</f>
        <v>100</v>
      </c>
    </row>
    <row r="5" spans="1:11" s="5" customFormat="1" x14ac:dyDescent="0.2">
      <c r="A5" s="28" t="s">
        <v>371</v>
      </c>
      <c r="B5" s="91" t="s">
        <v>308</v>
      </c>
      <c r="C5" s="66"/>
      <c r="D5" s="155">
        <f>'Ward Selection'!D120</f>
        <v>6666493</v>
      </c>
      <c r="E5" s="105">
        <f>'Ward Selection'!E120</f>
        <v>30.2</v>
      </c>
      <c r="F5" s="155">
        <f>'Ward Selection'!F120</f>
        <v>679399</v>
      </c>
      <c r="G5" s="105">
        <f>'Ward Selection'!G120</f>
        <v>30.5</v>
      </c>
      <c r="H5" s="155">
        <f>'Ward Selection'!H120</f>
        <v>29734</v>
      </c>
      <c r="I5" s="105">
        <f>'Ward Selection'!I120</f>
        <v>29.5</v>
      </c>
      <c r="J5" s="155">
        <f>'Ward Selection'!J120</f>
        <v>1311</v>
      </c>
      <c r="K5" s="147">
        <f>'Ward Selection'!K120</f>
        <v>26.9</v>
      </c>
    </row>
    <row r="6" spans="1:11" s="5" customFormat="1" x14ac:dyDescent="0.2">
      <c r="A6" s="28"/>
      <c r="B6" s="91" t="s">
        <v>309</v>
      </c>
      <c r="C6" s="66"/>
      <c r="D6" s="155">
        <f>'Ward Selection'!D121</f>
        <v>13631182</v>
      </c>
      <c r="E6" s="105">
        <f>'Ward Selection'!E121</f>
        <v>61.8</v>
      </c>
      <c r="F6" s="155">
        <f>'Ward Selection'!F121</f>
        <v>1394564</v>
      </c>
      <c r="G6" s="105">
        <f>'Ward Selection'!G121</f>
        <v>62.7</v>
      </c>
      <c r="H6" s="155">
        <f>'Ward Selection'!H121</f>
        <v>66621</v>
      </c>
      <c r="I6" s="105">
        <f>'Ward Selection'!I121</f>
        <v>66.099999999999994</v>
      </c>
      <c r="J6" s="155">
        <f>'Ward Selection'!J121</f>
        <v>3389</v>
      </c>
      <c r="K6" s="147">
        <f>'Ward Selection'!K121</f>
        <v>69.5</v>
      </c>
    </row>
    <row r="7" spans="1:11" s="5" customFormat="1" x14ac:dyDescent="0.2">
      <c r="A7" s="29"/>
      <c r="B7" s="92" t="s">
        <v>310</v>
      </c>
      <c r="C7" s="70"/>
      <c r="D7" s="158">
        <f>'Ward Selection'!D122</f>
        <v>1765693</v>
      </c>
      <c r="E7" s="106">
        <f>'Ward Selection'!E122</f>
        <v>8</v>
      </c>
      <c r="F7" s="158">
        <f>'Ward Selection'!F122</f>
        <v>150096</v>
      </c>
      <c r="G7" s="106">
        <f>'Ward Selection'!G122</f>
        <v>6.7</v>
      </c>
      <c r="H7" s="158">
        <f>'Ward Selection'!H122</f>
        <v>4379</v>
      </c>
      <c r="I7" s="106">
        <f>'Ward Selection'!I122</f>
        <v>4.3</v>
      </c>
      <c r="J7" s="158">
        <f>'Ward Selection'!J122</f>
        <v>178</v>
      </c>
      <c r="K7" s="148">
        <f>'Ward Selection'!K122</f>
        <v>3.6</v>
      </c>
    </row>
    <row r="8" spans="1:11" s="5" customFormat="1" x14ac:dyDescent="0.2">
      <c r="A8" s="104"/>
      <c r="B8" s="91"/>
      <c r="D8" s="155"/>
      <c r="E8" s="150"/>
      <c r="F8" s="155"/>
      <c r="G8" s="151"/>
      <c r="H8" s="133"/>
      <c r="I8" s="150"/>
      <c r="J8" s="136"/>
      <c r="K8" s="69"/>
    </row>
    <row r="9" spans="1:11" s="5" customFormat="1" x14ac:dyDescent="0.2">
      <c r="A9" s="27" t="s">
        <v>368</v>
      </c>
      <c r="B9" s="93" t="s">
        <v>157</v>
      </c>
      <c r="C9" s="62"/>
      <c r="D9" s="156">
        <f>'Ward Selection'!D124</f>
        <v>42077356</v>
      </c>
      <c r="E9" s="63">
        <f>'Ward Selection'!E124</f>
        <v>100</v>
      </c>
      <c r="F9" s="156">
        <f>'Ward Selection'!F124</f>
        <v>4190549</v>
      </c>
      <c r="G9" s="63">
        <f>'Ward Selection'!G124</f>
        <v>100</v>
      </c>
      <c r="H9" s="156">
        <f>'Ward Selection'!H124</f>
        <v>186674</v>
      </c>
      <c r="I9" s="63">
        <f>'Ward Selection'!I124</f>
        <v>100</v>
      </c>
      <c r="J9" s="156">
        <f>'Ward Selection'!J124</f>
        <v>9267</v>
      </c>
      <c r="K9" s="146">
        <f>'Ward Selection'!K124</f>
        <v>100</v>
      </c>
    </row>
    <row r="10" spans="1:11" s="5" customFormat="1" x14ac:dyDescent="0.2">
      <c r="A10" s="28" t="s">
        <v>369</v>
      </c>
      <c r="B10" s="91" t="s">
        <v>158</v>
      </c>
      <c r="C10" s="66"/>
      <c r="D10" s="155">
        <f>'Ward Selection'!D125</f>
        <v>24321304</v>
      </c>
      <c r="E10" s="105">
        <f>'Ward Selection'!E125</f>
        <v>57.8</v>
      </c>
      <c r="F10" s="155">
        <f>'Ward Selection'!F125</f>
        <v>2474053</v>
      </c>
      <c r="G10" s="105">
        <f>'Ward Selection'!G125</f>
        <v>59</v>
      </c>
      <c r="H10" s="155">
        <f>'Ward Selection'!H125</f>
        <v>114804</v>
      </c>
      <c r="I10" s="105">
        <f>'Ward Selection'!I125</f>
        <v>61.5</v>
      </c>
      <c r="J10" s="155">
        <f>'Ward Selection'!J125</f>
        <v>6210</v>
      </c>
      <c r="K10" s="147">
        <f>'Ward Selection'!K125</f>
        <v>67</v>
      </c>
    </row>
    <row r="11" spans="1:11" s="5" customFormat="1" ht="25.5" x14ac:dyDescent="0.2">
      <c r="A11" s="28"/>
      <c r="B11" s="91" t="s">
        <v>159</v>
      </c>
      <c r="C11" s="66"/>
      <c r="D11" s="155">
        <f>'Ward Selection'!D126</f>
        <v>19296455</v>
      </c>
      <c r="E11" s="105">
        <f>'Ward Selection'!E126</f>
        <v>45.9</v>
      </c>
      <c r="F11" s="155">
        <f>'Ward Selection'!F126</f>
        <v>1937452</v>
      </c>
      <c r="G11" s="105">
        <f>'Ward Selection'!G126</f>
        <v>46.2</v>
      </c>
      <c r="H11" s="155">
        <f>'Ward Selection'!H126</f>
        <v>87674</v>
      </c>
      <c r="I11" s="105">
        <f>'Ward Selection'!I126</f>
        <v>47</v>
      </c>
      <c r="J11" s="155">
        <f>'Ward Selection'!J126</f>
        <v>4978</v>
      </c>
      <c r="K11" s="147">
        <f>'Ward Selection'!K126</f>
        <v>53.7</v>
      </c>
    </row>
    <row r="12" spans="1:11" s="5" customFormat="1" x14ac:dyDescent="0.2">
      <c r="A12" s="28"/>
      <c r="B12" s="91" t="s">
        <v>160</v>
      </c>
      <c r="C12" s="66"/>
      <c r="D12" s="155">
        <f>'Ward Selection'!D127</f>
        <v>5024849</v>
      </c>
      <c r="E12" s="105">
        <f>'Ward Selection'!E127</f>
        <v>11.9</v>
      </c>
      <c r="F12" s="155">
        <f>'Ward Selection'!F127</f>
        <v>536601</v>
      </c>
      <c r="G12" s="105">
        <f>'Ward Selection'!G127</f>
        <v>12.8</v>
      </c>
      <c r="H12" s="155">
        <f>'Ward Selection'!H127</f>
        <v>27130</v>
      </c>
      <c r="I12" s="105">
        <f>'Ward Selection'!I127</f>
        <v>14.5</v>
      </c>
      <c r="J12" s="155">
        <f>'Ward Selection'!J127</f>
        <v>1232</v>
      </c>
      <c r="K12" s="147">
        <f>'Ward Selection'!K127</f>
        <v>13.3</v>
      </c>
    </row>
    <row r="13" spans="1:11" s="5" customFormat="1" x14ac:dyDescent="0.2">
      <c r="A13" s="28"/>
      <c r="B13" s="91" t="s">
        <v>161</v>
      </c>
      <c r="C13" s="66"/>
      <c r="D13" s="155">
        <f>'Ward Selection'!D128</f>
        <v>17756052</v>
      </c>
      <c r="E13" s="105">
        <f>'Ward Selection'!E128</f>
        <v>42.2</v>
      </c>
      <c r="F13" s="155">
        <f>'Ward Selection'!F128</f>
        <v>1716496</v>
      </c>
      <c r="G13" s="105">
        <f>'Ward Selection'!G128</f>
        <v>41</v>
      </c>
      <c r="H13" s="155">
        <f>'Ward Selection'!H128</f>
        <v>71870</v>
      </c>
      <c r="I13" s="105">
        <f>'Ward Selection'!I128</f>
        <v>38.5</v>
      </c>
      <c r="J13" s="155">
        <f>'Ward Selection'!J128</f>
        <v>3057</v>
      </c>
      <c r="K13" s="147">
        <f>'Ward Selection'!K128</f>
        <v>33</v>
      </c>
    </row>
    <row r="14" spans="1:11" s="5" customFormat="1" ht="25.5" x14ac:dyDescent="0.2">
      <c r="A14" s="28"/>
      <c r="B14" s="91" t="s">
        <v>162</v>
      </c>
      <c r="C14" s="66"/>
      <c r="D14" s="155">
        <f>'Ward Selection'!D129</f>
        <v>10862019</v>
      </c>
      <c r="E14" s="105">
        <f>'Ward Selection'!E129</f>
        <v>25.8</v>
      </c>
      <c r="F14" s="155">
        <f>'Ward Selection'!F129</f>
        <v>1027115</v>
      </c>
      <c r="G14" s="105">
        <f>'Ward Selection'!G129</f>
        <v>24.5</v>
      </c>
      <c r="H14" s="155">
        <f>'Ward Selection'!H129</f>
        <v>40420</v>
      </c>
      <c r="I14" s="105">
        <f>'Ward Selection'!I129</f>
        <v>21.7</v>
      </c>
      <c r="J14" s="155">
        <f>'Ward Selection'!J129</f>
        <v>1691</v>
      </c>
      <c r="K14" s="147">
        <f>'Ward Selection'!K129</f>
        <v>18.2</v>
      </c>
    </row>
    <row r="15" spans="1:11" s="5" customFormat="1" ht="25.5" x14ac:dyDescent="0.2">
      <c r="A15" s="28"/>
      <c r="B15" s="91" t="s">
        <v>163</v>
      </c>
      <c r="C15" s="66"/>
      <c r="D15" s="155">
        <f>'Ward Selection'!D130</f>
        <v>613991</v>
      </c>
      <c r="E15" s="105">
        <f>'Ward Selection'!E130</f>
        <v>1.5</v>
      </c>
      <c r="F15" s="155">
        <f>'Ward Selection'!F130</f>
        <v>52906</v>
      </c>
      <c r="G15" s="105">
        <f>'Ward Selection'!G130</f>
        <v>1.3</v>
      </c>
      <c r="H15" s="155">
        <f>'Ward Selection'!H130</f>
        <v>1483</v>
      </c>
      <c r="I15" s="105">
        <f>'Ward Selection'!I130</f>
        <v>0.8</v>
      </c>
      <c r="J15" s="155">
        <f>'Ward Selection'!J130</f>
        <v>75</v>
      </c>
      <c r="K15" s="147">
        <f>'Ward Selection'!K130</f>
        <v>0.8</v>
      </c>
    </row>
    <row r="16" spans="1:11" s="5" customFormat="1" ht="38.25" x14ac:dyDescent="0.2">
      <c r="A16" s="28"/>
      <c r="B16" s="91" t="s">
        <v>164</v>
      </c>
      <c r="C16" s="66"/>
      <c r="D16" s="155">
        <f>'Ward Selection'!D131</f>
        <v>898194</v>
      </c>
      <c r="E16" s="105">
        <f>'Ward Selection'!E131</f>
        <v>2.1</v>
      </c>
      <c r="F16" s="155">
        <f>'Ward Selection'!F131</f>
        <v>86572</v>
      </c>
      <c r="G16" s="105">
        <f>'Ward Selection'!G131</f>
        <v>2.1</v>
      </c>
      <c r="H16" s="155">
        <f>'Ward Selection'!H131</f>
        <v>3579</v>
      </c>
      <c r="I16" s="105">
        <f>'Ward Selection'!I131</f>
        <v>1.9</v>
      </c>
      <c r="J16" s="155">
        <f>'Ward Selection'!J131</f>
        <v>162</v>
      </c>
      <c r="K16" s="147">
        <f>'Ward Selection'!K131</f>
        <v>1.7</v>
      </c>
    </row>
    <row r="17" spans="1:11" s="5" customFormat="1" ht="38.25" x14ac:dyDescent="0.2">
      <c r="A17" s="28"/>
      <c r="B17" s="91" t="s">
        <v>165</v>
      </c>
      <c r="C17" s="66"/>
      <c r="D17" s="155">
        <f>'Ward Selection'!D132</f>
        <v>2745873</v>
      </c>
      <c r="E17" s="105">
        <f>'Ward Selection'!E132</f>
        <v>6.5</v>
      </c>
      <c r="F17" s="155">
        <f>'Ward Selection'!F132</f>
        <v>276625</v>
      </c>
      <c r="G17" s="105">
        <f>'Ward Selection'!G132</f>
        <v>6.6</v>
      </c>
      <c r="H17" s="155">
        <f>'Ward Selection'!H132</f>
        <v>13384</v>
      </c>
      <c r="I17" s="105">
        <f>'Ward Selection'!I132</f>
        <v>7.2</v>
      </c>
      <c r="J17" s="155">
        <f>'Ward Selection'!J132</f>
        <v>574</v>
      </c>
      <c r="K17" s="147">
        <f>'Ward Selection'!K132</f>
        <v>6.2</v>
      </c>
    </row>
    <row r="18" spans="1:11" s="5" customFormat="1" ht="25.5" x14ac:dyDescent="0.2">
      <c r="A18" s="29"/>
      <c r="B18" s="92" t="s">
        <v>166</v>
      </c>
      <c r="C18" s="70"/>
      <c r="D18" s="158">
        <f>'Ward Selection'!D133</f>
        <v>2635975</v>
      </c>
      <c r="E18" s="106">
        <f>'Ward Selection'!E133</f>
        <v>6.3</v>
      </c>
      <c r="F18" s="158">
        <f>'Ward Selection'!F133</f>
        <v>273278</v>
      </c>
      <c r="G18" s="106">
        <f>'Ward Selection'!G133</f>
        <v>6.5</v>
      </c>
      <c r="H18" s="158">
        <f>'Ward Selection'!H133</f>
        <v>13004</v>
      </c>
      <c r="I18" s="106">
        <f>'Ward Selection'!I133</f>
        <v>7</v>
      </c>
      <c r="J18" s="158">
        <f>'Ward Selection'!J133</f>
        <v>555</v>
      </c>
      <c r="K18" s="148">
        <f>'Ward Selection'!K133</f>
        <v>6</v>
      </c>
    </row>
    <row r="19" spans="1:11" s="5" customFormat="1" x14ac:dyDescent="0.2">
      <c r="A19" s="180"/>
      <c r="B19" s="92"/>
      <c r="C19" s="70"/>
      <c r="D19" s="158"/>
      <c r="E19" s="181"/>
      <c r="F19" s="158"/>
      <c r="G19" s="182"/>
      <c r="H19" s="134"/>
      <c r="I19" s="181"/>
      <c r="J19" s="137"/>
      <c r="K19" s="73"/>
    </row>
    <row r="20" spans="1:11" s="5" customFormat="1" x14ac:dyDescent="0.2">
      <c r="A20" s="27" t="s">
        <v>366</v>
      </c>
      <c r="B20" s="93" t="s">
        <v>41</v>
      </c>
      <c r="C20" s="62"/>
      <c r="D20" s="156">
        <f>'Ward Selection'!D135</f>
        <v>54596</v>
      </c>
      <c r="E20" s="63" t="str">
        <f>'Ward Selection'!E135</f>
        <v>-</v>
      </c>
      <c r="F20" s="156">
        <f>'Ward Selection'!F135</f>
        <v>4912</v>
      </c>
      <c r="G20" s="63" t="str">
        <f>'Ward Selection'!G135</f>
        <v>-</v>
      </c>
      <c r="H20" s="156">
        <f>'Ward Selection'!H135</f>
        <v>107</v>
      </c>
      <c r="I20" s="63" t="str">
        <f>'Ward Selection'!I135</f>
        <v>-</v>
      </c>
      <c r="J20" s="156">
        <f>'Ward Selection'!J135</f>
        <v>8</v>
      </c>
      <c r="K20" s="146" t="str">
        <f>'Ward Selection'!K135</f>
        <v>-</v>
      </c>
    </row>
    <row r="21" spans="1:11" s="5" customFormat="1" ht="25.5" x14ac:dyDescent="0.2">
      <c r="A21" s="28" t="s">
        <v>367</v>
      </c>
      <c r="B21" s="91" t="s">
        <v>42</v>
      </c>
      <c r="C21" s="66"/>
      <c r="D21" s="155">
        <f>'Ward Selection'!D136</f>
        <v>952525</v>
      </c>
      <c r="E21" s="67">
        <f>'Ward Selection'!E136</f>
        <v>100</v>
      </c>
      <c r="F21" s="155">
        <f>'Ward Selection'!F136</f>
        <v>98056</v>
      </c>
      <c r="G21" s="67">
        <f>'Ward Selection'!G136</f>
        <v>100</v>
      </c>
      <c r="H21" s="155">
        <f>'Ward Selection'!H136</f>
        <v>1682</v>
      </c>
      <c r="I21" s="67">
        <f>'Ward Selection'!I136</f>
        <v>100</v>
      </c>
      <c r="J21" s="155">
        <f>'Ward Selection'!J136</f>
        <v>16</v>
      </c>
      <c r="K21" s="157">
        <f>'Ward Selection'!K136</f>
        <v>100</v>
      </c>
    </row>
    <row r="22" spans="1:11" s="5" customFormat="1" ht="25.5" x14ac:dyDescent="0.2">
      <c r="A22" s="28"/>
      <c r="B22" s="91" t="s">
        <v>43</v>
      </c>
      <c r="C22" s="66"/>
      <c r="D22" s="155">
        <f>'Ward Selection'!D137</f>
        <v>1468</v>
      </c>
      <c r="E22" s="105">
        <f>'Ward Selection'!E137</f>
        <v>0.2</v>
      </c>
      <c r="F22" s="155">
        <f>'Ward Selection'!F137</f>
        <v>137</v>
      </c>
      <c r="G22" s="105">
        <f>'Ward Selection'!G137</f>
        <v>0.1</v>
      </c>
      <c r="H22" s="155">
        <f>'Ward Selection'!H137</f>
        <v>27</v>
      </c>
      <c r="I22" s="105">
        <f>'Ward Selection'!I137</f>
        <v>1.6</v>
      </c>
      <c r="J22" s="155">
        <f>'Ward Selection'!J137</f>
        <v>0</v>
      </c>
      <c r="K22" s="147">
        <f>'Ward Selection'!K137</f>
        <v>0</v>
      </c>
    </row>
    <row r="23" spans="1:11" s="5" customFormat="1" ht="25.5" x14ac:dyDescent="0.2">
      <c r="A23" s="28"/>
      <c r="B23" s="91" t="s">
        <v>44</v>
      </c>
      <c r="C23" s="66"/>
      <c r="D23" s="155">
        <f>'Ward Selection'!D138</f>
        <v>6810</v>
      </c>
      <c r="E23" s="105">
        <f>'Ward Selection'!E138</f>
        <v>0.7</v>
      </c>
      <c r="F23" s="155">
        <f>'Ward Selection'!F138</f>
        <v>438</v>
      </c>
      <c r="G23" s="105">
        <f>'Ward Selection'!G138</f>
        <v>0.4</v>
      </c>
      <c r="H23" s="155">
        <f>'Ward Selection'!H138</f>
        <v>0</v>
      </c>
      <c r="I23" s="105">
        <f>'Ward Selection'!I138</f>
        <v>0</v>
      </c>
      <c r="J23" s="155">
        <f>'Ward Selection'!J138</f>
        <v>0</v>
      </c>
      <c r="K23" s="147">
        <f>'Ward Selection'!K138</f>
        <v>0</v>
      </c>
    </row>
    <row r="24" spans="1:11" s="5" customFormat="1" ht="25.5" x14ac:dyDescent="0.2">
      <c r="A24" s="28"/>
      <c r="B24" s="91" t="s">
        <v>45</v>
      </c>
      <c r="C24" s="66"/>
      <c r="D24" s="155">
        <f>'Ward Selection'!D139</f>
        <v>1927</v>
      </c>
      <c r="E24" s="105">
        <f>'Ward Selection'!E139</f>
        <v>0.2</v>
      </c>
      <c r="F24" s="155">
        <f>'Ward Selection'!F139</f>
        <v>170</v>
      </c>
      <c r="G24" s="105">
        <f>'Ward Selection'!G139</f>
        <v>0.2</v>
      </c>
      <c r="H24" s="155">
        <f>'Ward Selection'!H139</f>
        <v>0</v>
      </c>
      <c r="I24" s="105">
        <f>'Ward Selection'!I139</f>
        <v>0</v>
      </c>
      <c r="J24" s="155">
        <f>'Ward Selection'!J139</f>
        <v>0</v>
      </c>
      <c r="K24" s="147">
        <f>'Ward Selection'!K139</f>
        <v>0</v>
      </c>
    </row>
    <row r="25" spans="1:11" s="5" customFormat="1" ht="38.25" x14ac:dyDescent="0.2">
      <c r="A25" s="28"/>
      <c r="B25" s="91" t="s">
        <v>46</v>
      </c>
      <c r="C25" s="66"/>
      <c r="D25" s="155">
        <f>'Ward Selection'!D140</f>
        <v>1068</v>
      </c>
      <c r="E25" s="105">
        <f>'Ward Selection'!E140</f>
        <v>0.1</v>
      </c>
      <c r="F25" s="155">
        <f>'Ward Selection'!F140</f>
        <v>195</v>
      </c>
      <c r="G25" s="105">
        <f>'Ward Selection'!G140</f>
        <v>0.2</v>
      </c>
      <c r="H25" s="155">
        <f>'Ward Selection'!H140</f>
        <v>0</v>
      </c>
      <c r="I25" s="105">
        <f>'Ward Selection'!I140</f>
        <v>0</v>
      </c>
      <c r="J25" s="155">
        <f>'Ward Selection'!J140</f>
        <v>0</v>
      </c>
      <c r="K25" s="147">
        <f>'Ward Selection'!K140</f>
        <v>0</v>
      </c>
    </row>
    <row r="26" spans="1:11" s="5" customFormat="1" ht="25.5" x14ac:dyDescent="0.2">
      <c r="A26" s="28"/>
      <c r="B26" s="91" t="s">
        <v>47</v>
      </c>
      <c r="C26" s="66"/>
      <c r="D26" s="155">
        <f>'Ward Selection'!D141</f>
        <v>15452</v>
      </c>
      <c r="E26" s="105">
        <f>'Ward Selection'!E141</f>
        <v>1.6</v>
      </c>
      <c r="F26" s="155">
        <f>'Ward Selection'!F141</f>
        <v>2041</v>
      </c>
      <c r="G26" s="105">
        <f>'Ward Selection'!G141</f>
        <v>2.1</v>
      </c>
      <c r="H26" s="155">
        <f>'Ward Selection'!H141</f>
        <v>6</v>
      </c>
      <c r="I26" s="105">
        <f>'Ward Selection'!I141</f>
        <v>0.4</v>
      </c>
      <c r="J26" s="155">
        <f>'Ward Selection'!J141</f>
        <v>0</v>
      </c>
      <c r="K26" s="147">
        <f>'Ward Selection'!K141</f>
        <v>0</v>
      </c>
    </row>
    <row r="27" spans="1:11" s="5" customFormat="1" ht="25.5" x14ac:dyDescent="0.2">
      <c r="A27" s="28"/>
      <c r="B27" s="91" t="s">
        <v>48</v>
      </c>
      <c r="C27" s="66"/>
      <c r="D27" s="155">
        <f>'Ward Selection'!D142</f>
        <v>5965</v>
      </c>
      <c r="E27" s="105">
        <f>'Ward Selection'!E142</f>
        <v>0.6</v>
      </c>
      <c r="F27" s="155">
        <f>'Ward Selection'!F142</f>
        <v>399</v>
      </c>
      <c r="G27" s="105">
        <f>'Ward Selection'!G142</f>
        <v>0.4</v>
      </c>
      <c r="H27" s="155">
        <f>'Ward Selection'!H142</f>
        <v>9</v>
      </c>
      <c r="I27" s="105">
        <f>'Ward Selection'!I142</f>
        <v>0.5</v>
      </c>
      <c r="J27" s="155">
        <f>'Ward Selection'!J142</f>
        <v>0</v>
      </c>
      <c r="K27" s="147">
        <f>'Ward Selection'!K142</f>
        <v>0</v>
      </c>
    </row>
    <row r="28" spans="1:11" s="5" customFormat="1" ht="25.5" x14ac:dyDescent="0.2">
      <c r="A28" s="28"/>
      <c r="B28" s="91" t="s">
        <v>49</v>
      </c>
      <c r="C28" s="66"/>
      <c r="D28" s="155">
        <f>'Ward Selection'!D143</f>
        <v>140547</v>
      </c>
      <c r="E28" s="105">
        <f>'Ward Selection'!E143</f>
        <v>14.8</v>
      </c>
      <c r="F28" s="155">
        <f>'Ward Selection'!F143</f>
        <v>13799</v>
      </c>
      <c r="G28" s="105">
        <f>'Ward Selection'!G143</f>
        <v>14.1</v>
      </c>
      <c r="H28" s="155">
        <f>'Ward Selection'!H143</f>
        <v>640</v>
      </c>
      <c r="I28" s="105">
        <f>'Ward Selection'!I143</f>
        <v>38</v>
      </c>
      <c r="J28" s="155">
        <f>'Ward Selection'!J143</f>
        <v>0</v>
      </c>
      <c r="K28" s="147">
        <f>'Ward Selection'!K143</f>
        <v>0</v>
      </c>
    </row>
    <row r="29" spans="1:11" s="5" customFormat="1" ht="25.5" x14ac:dyDescent="0.2">
      <c r="A29" s="28"/>
      <c r="B29" s="91" t="s">
        <v>50</v>
      </c>
      <c r="C29" s="66"/>
      <c r="D29" s="155">
        <f>'Ward Selection'!D144</f>
        <v>205360</v>
      </c>
      <c r="E29" s="105">
        <f>'Ward Selection'!E144</f>
        <v>21.6</v>
      </c>
      <c r="F29" s="155">
        <f>'Ward Selection'!F144</f>
        <v>19787</v>
      </c>
      <c r="G29" s="105">
        <f>'Ward Selection'!G144</f>
        <v>20.2</v>
      </c>
      <c r="H29" s="155">
        <f>'Ward Selection'!H144</f>
        <v>849</v>
      </c>
      <c r="I29" s="105">
        <f>'Ward Selection'!I144</f>
        <v>50.5</v>
      </c>
      <c r="J29" s="155">
        <f>'Ward Selection'!J144</f>
        <v>4</v>
      </c>
      <c r="K29" s="147">
        <f>'Ward Selection'!K144</f>
        <v>25</v>
      </c>
    </row>
    <row r="30" spans="1:11" s="5" customFormat="1" ht="25.5" x14ac:dyDescent="0.2">
      <c r="A30" s="28"/>
      <c r="B30" s="91" t="s">
        <v>51</v>
      </c>
      <c r="C30" s="66"/>
      <c r="D30" s="155">
        <f>'Ward Selection'!D145</f>
        <v>2557</v>
      </c>
      <c r="E30" s="105">
        <f>'Ward Selection'!E145</f>
        <v>0.3</v>
      </c>
      <c r="F30" s="155">
        <f>'Ward Selection'!F145</f>
        <v>197</v>
      </c>
      <c r="G30" s="105">
        <f>'Ward Selection'!G145</f>
        <v>0.2</v>
      </c>
      <c r="H30" s="155">
        <f>'Ward Selection'!H145</f>
        <v>16</v>
      </c>
      <c r="I30" s="105">
        <f>'Ward Selection'!I145</f>
        <v>1</v>
      </c>
      <c r="J30" s="155">
        <f>'Ward Selection'!J145</f>
        <v>0</v>
      </c>
      <c r="K30" s="147">
        <f>'Ward Selection'!K145</f>
        <v>0</v>
      </c>
    </row>
    <row r="31" spans="1:11" s="5" customFormat="1" x14ac:dyDescent="0.2">
      <c r="A31" s="28"/>
      <c r="B31" s="91" t="s">
        <v>52</v>
      </c>
      <c r="C31" s="66"/>
      <c r="D31" s="155">
        <f>'Ward Selection'!D146</f>
        <v>15372</v>
      </c>
      <c r="E31" s="105">
        <f>'Ward Selection'!E146</f>
        <v>1.6</v>
      </c>
      <c r="F31" s="155">
        <f>'Ward Selection'!F146</f>
        <v>1337</v>
      </c>
      <c r="G31" s="105">
        <f>'Ward Selection'!G146</f>
        <v>1.4</v>
      </c>
      <c r="H31" s="155">
        <f>'Ward Selection'!H146</f>
        <v>40</v>
      </c>
      <c r="I31" s="105">
        <f>'Ward Selection'!I146</f>
        <v>2.4</v>
      </c>
      <c r="J31" s="155">
        <f>'Ward Selection'!J146</f>
        <v>0</v>
      </c>
      <c r="K31" s="147">
        <f>'Ward Selection'!K146</f>
        <v>0</v>
      </c>
    </row>
    <row r="32" spans="1:11" s="5" customFormat="1" x14ac:dyDescent="0.2">
      <c r="A32" s="28"/>
      <c r="B32" s="91" t="s">
        <v>53</v>
      </c>
      <c r="C32" s="66"/>
      <c r="D32" s="155">
        <f>'Ward Selection'!D147</f>
        <v>544474</v>
      </c>
      <c r="E32" s="105">
        <f>'Ward Selection'!E147</f>
        <v>57.2</v>
      </c>
      <c r="F32" s="155">
        <f>'Ward Selection'!F147</f>
        <v>58879</v>
      </c>
      <c r="G32" s="105">
        <f>'Ward Selection'!G147</f>
        <v>60</v>
      </c>
      <c r="H32" s="155">
        <f>'Ward Selection'!H147</f>
        <v>92</v>
      </c>
      <c r="I32" s="105">
        <f>'Ward Selection'!I147</f>
        <v>5.5</v>
      </c>
      <c r="J32" s="155">
        <f>'Ward Selection'!J147</f>
        <v>12</v>
      </c>
      <c r="K32" s="147">
        <f>'Ward Selection'!K147</f>
        <v>75</v>
      </c>
    </row>
    <row r="33" spans="1:11" s="5" customFormat="1" x14ac:dyDescent="0.2">
      <c r="A33" s="29"/>
      <c r="B33" s="92" t="s">
        <v>54</v>
      </c>
      <c r="C33" s="70"/>
      <c r="D33" s="158">
        <f>'Ward Selection'!D148</f>
        <v>11525</v>
      </c>
      <c r="E33" s="106">
        <f>'Ward Selection'!E148</f>
        <v>1.2</v>
      </c>
      <c r="F33" s="158">
        <f>'Ward Selection'!F148</f>
        <v>677</v>
      </c>
      <c r="G33" s="106">
        <f>'Ward Selection'!G148</f>
        <v>0.7</v>
      </c>
      <c r="H33" s="158">
        <f>'Ward Selection'!H148</f>
        <v>3</v>
      </c>
      <c r="I33" s="106">
        <f>'Ward Selection'!I148</f>
        <v>0.2</v>
      </c>
      <c r="J33" s="158">
        <f>'Ward Selection'!J148</f>
        <v>0</v>
      </c>
      <c r="K33" s="148">
        <f>'Ward Selection'!K148</f>
        <v>0</v>
      </c>
    </row>
    <row r="34" spans="1:11" s="5" customFormat="1" x14ac:dyDescent="0.2">
      <c r="A34" s="180"/>
      <c r="B34" s="92"/>
      <c r="C34" s="70"/>
      <c r="D34" s="158"/>
      <c r="E34" s="181"/>
      <c r="F34" s="158"/>
      <c r="G34" s="182"/>
      <c r="H34" s="134"/>
      <c r="I34" s="181"/>
      <c r="J34" s="137"/>
      <c r="K34" s="73"/>
    </row>
    <row r="35" spans="1:11" s="5" customFormat="1" ht="29.25" customHeight="1" x14ac:dyDescent="0.2">
      <c r="A35" s="27" t="s">
        <v>433</v>
      </c>
      <c r="B35" s="93" t="s">
        <v>168</v>
      </c>
      <c r="C35" s="62"/>
      <c r="D35" s="156">
        <f>'Ward Selection'!D150</f>
        <v>1564681</v>
      </c>
      <c r="E35" s="63">
        <f>'Ward Selection'!E150</f>
        <v>100</v>
      </c>
      <c r="F35" s="156">
        <f>'Ward Selection'!F150</f>
        <v>157980</v>
      </c>
      <c r="G35" s="63">
        <f>'Ward Selection'!G150</f>
        <v>100</v>
      </c>
      <c r="H35" s="156">
        <f>'Ward Selection'!H150</f>
        <v>7865</v>
      </c>
      <c r="I35" s="63">
        <f>'Ward Selection'!I150</f>
        <v>100</v>
      </c>
      <c r="J35" s="156">
        <f>'Ward Selection'!J150</f>
        <v>271</v>
      </c>
      <c r="K35" s="146">
        <f>'Ward Selection'!K150</f>
        <v>100</v>
      </c>
    </row>
    <row r="36" spans="1:11" s="5" customFormat="1" ht="25.5" x14ac:dyDescent="0.2">
      <c r="A36" s="28" t="s">
        <v>434</v>
      </c>
      <c r="B36" s="91" t="s">
        <v>169</v>
      </c>
      <c r="C36" s="66"/>
      <c r="D36" s="155">
        <f>'Ward Selection'!D151</f>
        <v>522789</v>
      </c>
      <c r="E36" s="105">
        <f>'Ward Selection'!E151</f>
        <v>33.4</v>
      </c>
      <c r="F36" s="155">
        <f>'Ward Selection'!F151</f>
        <v>55202</v>
      </c>
      <c r="G36" s="105">
        <f>'Ward Selection'!G151</f>
        <v>34.9</v>
      </c>
      <c r="H36" s="155">
        <f>'Ward Selection'!H151</f>
        <v>2650</v>
      </c>
      <c r="I36" s="105">
        <f>'Ward Selection'!I151</f>
        <v>33.700000000000003</v>
      </c>
      <c r="J36" s="155">
        <f>'Ward Selection'!J151</f>
        <v>113</v>
      </c>
      <c r="K36" s="147">
        <f>'Ward Selection'!K151</f>
        <v>41.7</v>
      </c>
    </row>
    <row r="37" spans="1:11" s="5" customFormat="1" x14ac:dyDescent="0.2">
      <c r="A37" s="28"/>
      <c r="B37" s="91" t="s">
        <v>170</v>
      </c>
      <c r="C37" s="66"/>
      <c r="D37" s="155">
        <f>'Ward Selection'!D152</f>
        <v>407873</v>
      </c>
      <c r="E37" s="105">
        <f>'Ward Selection'!E152</f>
        <v>26.1</v>
      </c>
      <c r="F37" s="155">
        <f>'Ward Selection'!F152</f>
        <v>40067</v>
      </c>
      <c r="G37" s="105">
        <f>'Ward Selection'!G152</f>
        <v>25.4</v>
      </c>
      <c r="H37" s="155">
        <f>'Ward Selection'!H152</f>
        <v>1846</v>
      </c>
      <c r="I37" s="105">
        <f>'Ward Selection'!I152</f>
        <v>23.5</v>
      </c>
      <c r="J37" s="155">
        <f>'Ward Selection'!J152</f>
        <v>104</v>
      </c>
      <c r="K37" s="147">
        <f>'Ward Selection'!K152</f>
        <v>38.4</v>
      </c>
    </row>
    <row r="38" spans="1:11" s="5" customFormat="1" x14ac:dyDescent="0.2">
      <c r="A38" s="28"/>
      <c r="B38" s="91" t="s">
        <v>171</v>
      </c>
      <c r="C38" s="66"/>
      <c r="D38" s="155">
        <f>'Ward Selection'!D153</f>
        <v>634019</v>
      </c>
      <c r="E38" s="105">
        <f>'Ward Selection'!E153</f>
        <v>40.5</v>
      </c>
      <c r="F38" s="155">
        <f>'Ward Selection'!F153</f>
        <v>62711</v>
      </c>
      <c r="G38" s="105">
        <f>'Ward Selection'!G153</f>
        <v>39.700000000000003</v>
      </c>
      <c r="H38" s="155">
        <f>'Ward Selection'!H153</f>
        <v>3369</v>
      </c>
      <c r="I38" s="105">
        <f>'Ward Selection'!I153</f>
        <v>42.8</v>
      </c>
      <c r="J38" s="155">
        <f>'Ward Selection'!J153</f>
        <v>54</v>
      </c>
      <c r="K38" s="147">
        <f>'Ward Selection'!K153</f>
        <v>19.899999999999999</v>
      </c>
    </row>
    <row r="39" spans="1:11" s="5" customFormat="1" x14ac:dyDescent="0.2">
      <c r="A39" s="28"/>
      <c r="B39" s="91" t="s">
        <v>357</v>
      </c>
      <c r="C39" s="66"/>
      <c r="D39" s="155">
        <f>'Ward Selection'!D154</f>
        <v>151744</v>
      </c>
      <c r="E39" s="105">
        <f>'Ward Selection'!E154</f>
        <v>9.6999999999999993</v>
      </c>
      <c r="F39" s="155">
        <f>'Ward Selection'!F154</f>
        <v>16109</v>
      </c>
      <c r="G39" s="105">
        <f>'Ward Selection'!G154</f>
        <v>10.199999999999999</v>
      </c>
      <c r="H39" s="155">
        <f>'Ward Selection'!H154</f>
        <v>915</v>
      </c>
      <c r="I39" s="105">
        <f>'Ward Selection'!I154</f>
        <v>11.6</v>
      </c>
      <c r="J39" s="155">
        <f>'Ward Selection'!J154</f>
        <v>40</v>
      </c>
      <c r="K39" s="147">
        <f>'Ward Selection'!K154</f>
        <v>14.760147601476014</v>
      </c>
    </row>
    <row r="40" spans="1:11" s="5" customFormat="1" x14ac:dyDescent="0.2">
      <c r="A40" s="28"/>
      <c r="B40" s="91" t="s">
        <v>172</v>
      </c>
      <c r="C40" s="66"/>
      <c r="D40" s="155">
        <f>'Ward Selection'!D155</f>
        <v>22130</v>
      </c>
      <c r="E40" s="105">
        <f>'Ward Selection'!E155</f>
        <v>1.4</v>
      </c>
      <c r="F40" s="155">
        <f>'Ward Selection'!F155</f>
        <v>2249</v>
      </c>
      <c r="G40" s="105">
        <f>'Ward Selection'!G155</f>
        <v>1.4</v>
      </c>
      <c r="H40" s="155">
        <f>'Ward Selection'!H155</f>
        <v>124</v>
      </c>
      <c r="I40" s="105">
        <f>'Ward Selection'!I155</f>
        <v>1.6</v>
      </c>
      <c r="J40" s="155">
        <f>'Ward Selection'!J155</f>
        <v>8</v>
      </c>
      <c r="K40" s="147">
        <f>'Ward Selection'!K155</f>
        <v>3</v>
      </c>
    </row>
    <row r="41" spans="1:11" s="5" customFormat="1" x14ac:dyDescent="0.2">
      <c r="A41" s="28"/>
      <c r="B41" s="91" t="s">
        <v>173</v>
      </c>
      <c r="C41" s="66"/>
      <c r="D41" s="155">
        <f>'Ward Selection'!D156</f>
        <v>80078</v>
      </c>
      <c r="E41" s="105">
        <f>'Ward Selection'!E156</f>
        <v>5.0999999999999996</v>
      </c>
      <c r="F41" s="155">
        <f>'Ward Selection'!F156</f>
        <v>8515</v>
      </c>
      <c r="G41" s="105">
        <f>'Ward Selection'!G156</f>
        <v>5.4</v>
      </c>
      <c r="H41" s="155">
        <f>'Ward Selection'!H156</f>
        <v>438</v>
      </c>
      <c r="I41" s="105">
        <f>'Ward Selection'!I156</f>
        <v>5.6</v>
      </c>
      <c r="J41" s="155">
        <f>'Ward Selection'!J156</f>
        <v>28</v>
      </c>
      <c r="K41" s="147">
        <f>'Ward Selection'!K156</f>
        <v>10.3</v>
      </c>
    </row>
    <row r="42" spans="1:11" s="5" customFormat="1" x14ac:dyDescent="0.2">
      <c r="A42" s="28"/>
      <c r="B42" s="91" t="s">
        <v>174</v>
      </c>
      <c r="C42" s="66"/>
      <c r="D42" s="155">
        <f>'Ward Selection'!D157</f>
        <v>49536</v>
      </c>
      <c r="E42" s="105">
        <f>'Ward Selection'!E157</f>
        <v>3.2</v>
      </c>
      <c r="F42" s="155">
        <f>'Ward Selection'!F157</f>
        <v>5345</v>
      </c>
      <c r="G42" s="105">
        <f>'Ward Selection'!G157</f>
        <v>3.4</v>
      </c>
      <c r="H42" s="155">
        <f>'Ward Selection'!H157</f>
        <v>353</v>
      </c>
      <c r="I42" s="105">
        <f>'Ward Selection'!I157</f>
        <v>4.5</v>
      </c>
      <c r="J42" s="155">
        <f>'Ward Selection'!J157</f>
        <v>4</v>
      </c>
      <c r="K42" s="147">
        <f>'Ward Selection'!K157</f>
        <v>1.5</v>
      </c>
    </row>
    <row r="43" spans="1:11" s="5" customFormat="1" x14ac:dyDescent="0.2">
      <c r="A43" s="28"/>
      <c r="B43" s="91" t="s">
        <v>175</v>
      </c>
      <c r="C43" s="66"/>
      <c r="D43" s="155">
        <f>'Ward Selection'!D158</f>
        <v>1412937</v>
      </c>
      <c r="E43" s="105">
        <f>'Ward Selection'!E158</f>
        <v>90.3</v>
      </c>
      <c r="F43" s="155">
        <f>'Ward Selection'!F158</f>
        <v>141871</v>
      </c>
      <c r="G43" s="105">
        <f>'Ward Selection'!G158</f>
        <v>89.8</v>
      </c>
      <c r="H43" s="155">
        <f>'Ward Selection'!H158</f>
        <v>6950</v>
      </c>
      <c r="I43" s="105">
        <f>'Ward Selection'!I158</f>
        <v>88.4</v>
      </c>
      <c r="J43" s="155">
        <f>'Ward Selection'!J158</f>
        <v>231</v>
      </c>
      <c r="K43" s="147">
        <f>'Ward Selection'!K158</f>
        <v>85.2</v>
      </c>
    </row>
    <row r="44" spans="1:11" s="5" customFormat="1" x14ac:dyDescent="0.2">
      <c r="A44" s="28"/>
      <c r="B44" s="91" t="s">
        <v>176</v>
      </c>
      <c r="C44" s="66"/>
      <c r="D44" s="155">
        <f>'Ward Selection'!D159</f>
        <v>500659</v>
      </c>
      <c r="E44" s="105">
        <f>'Ward Selection'!E159</f>
        <v>32</v>
      </c>
      <c r="F44" s="155">
        <f>'Ward Selection'!F159</f>
        <v>52953</v>
      </c>
      <c r="G44" s="105">
        <f>'Ward Selection'!G159</f>
        <v>33.5</v>
      </c>
      <c r="H44" s="155">
        <f>'Ward Selection'!H159</f>
        <v>2526</v>
      </c>
      <c r="I44" s="105">
        <f>'Ward Selection'!I159</f>
        <v>32.1</v>
      </c>
      <c r="J44" s="155">
        <f>'Ward Selection'!J159</f>
        <v>105</v>
      </c>
      <c r="K44" s="147">
        <f>'Ward Selection'!K159</f>
        <v>38.700000000000003</v>
      </c>
    </row>
    <row r="45" spans="1:11" s="5" customFormat="1" x14ac:dyDescent="0.2">
      <c r="A45" s="28"/>
      <c r="B45" s="91" t="s">
        <v>177</v>
      </c>
      <c r="C45" s="66"/>
      <c r="D45" s="155">
        <f>'Ward Selection'!D160</f>
        <v>327795</v>
      </c>
      <c r="E45" s="105">
        <f>'Ward Selection'!E160</f>
        <v>20.9</v>
      </c>
      <c r="F45" s="155">
        <f>'Ward Selection'!F160</f>
        <v>31552</v>
      </c>
      <c r="G45" s="105">
        <f>'Ward Selection'!G160</f>
        <v>20</v>
      </c>
      <c r="H45" s="155">
        <f>'Ward Selection'!H160</f>
        <v>1408</v>
      </c>
      <c r="I45" s="105">
        <f>'Ward Selection'!I160</f>
        <v>17.899999999999999</v>
      </c>
      <c r="J45" s="155">
        <f>'Ward Selection'!J160</f>
        <v>76</v>
      </c>
      <c r="K45" s="147">
        <f>'Ward Selection'!K160</f>
        <v>28</v>
      </c>
    </row>
    <row r="46" spans="1:11" s="5" customFormat="1" x14ac:dyDescent="0.2">
      <c r="A46" s="29"/>
      <c r="B46" s="92" t="s">
        <v>178</v>
      </c>
      <c r="C46" s="70"/>
      <c r="D46" s="158">
        <f>'Ward Selection'!D161</f>
        <v>584483</v>
      </c>
      <c r="E46" s="106">
        <f>'Ward Selection'!E161</f>
        <v>37.4</v>
      </c>
      <c r="F46" s="158">
        <f>'Ward Selection'!F161</f>
        <v>57366</v>
      </c>
      <c r="G46" s="106">
        <f>'Ward Selection'!G161</f>
        <v>36.299999999999997</v>
      </c>
      <c r="H46" s="158">
        <f>'Ward Selection'!H161</f>
        <v>3016</v>
      </c>
      <c r="I46" s="106">
        <f>'Ward Selection'!I161</f>
        <v>38.299999999999997</v>
      </c>
      <c r="J46" s="158">
        <f>'Ward Selection'!J161</f>
        <v>50</v>
      </c>
      <c r="K46" s="148">
        <f>'Ward Selection'!K161</f>
        <v>18.5</v>
      </c>
    </row>
    <row r="47" spans="1:11" s="5" customFormat="1" x14ac:dyDescent="0.2">
      <c r="A47" s="104"/>
      <c r="B47" s="91"/>
      <c r="C47" s="66"/>
      <c r="D47" s="155"/>
      <c r="E47" s="150"/>
      <c r="F47" s="155"/>
      <c r="G47" s="151"/>
      <c r="H47" s="133"/>
      <c r="I47" s="150"/>
      <c r="J47" s="136"/>
      <c r="K47" s="69"/>
    </row>
    <row r="48" spans="1:11" s="5" customFormat="1" x14ac:dyDescent="0.2">
      <c r="A48" s="27" t="s">
        <v>275</v>
      </c>
      <c r="B48" s="93" t="s">
        <v>263</v>
      </c>
      <c r="C48" s="62"/>
      <c r="D48" s="156">
        <f>'Ward Selection'!D163</f>
        <v>22063368</v>
      </c>
      <c r="E48" s="63">
        <f>'Ward Selection'!E163</f>
        <v>100</v>
      </c>
      <c r="F48" s="156">
        <f>'Ward Selection'!F163</f>
        <v>2224059</v>
      </c>
      <c r="G48" s="63">
        <f>'Ward Selection'!G163</f>
        <v>100</v>
      </c>
      <c r="H48" s="156">
        <f>'Ward Selection'!H163</f>
        <v>100734</v>
      </c>
      <c r="I48" s="63">
        <f>'Ward Selection'!I163</f>
        <v>100</v>
      </c>
      <c r="J48" s="156">
        <f>'Ward Selection'!J163</f>
        <v>4878</v>
      </c>
      <c r="K48" s="146">
        <f>'Ward Selection'!K163</f>
        <v>100</v>
      </c>
    </row>
    <row r="49" spans="1:11" s="5" customFormat="1" x14ac:dyDescent="0.2">
      <c r="A49" s="28"/>
      <c r="B49" s="91" t="s">
        <v>264</v>
      </c>
      <c r="C49" s="66"/>
      <c r="D49" s="155">
        <f>'Ward Selection'!D164</f>
        <v>13975024</v>
      </c>
      <c r="E49" s="105">
        <f>'Ward Selection'!E164</f>
        <v>63.3</v>
      </c>
      <c r="F49" s="155">
        <f>'Ward Selection'!F164</f>
        <v>1425563</v>
      </c>
      <c r="G49" s="105">
        <f>'Ward Selection'!G164</f>
        <v>64.099999999999994</v>
      </c>
      <c r="H49" s="155">
        <f>'Ward Selection'!H164</f>
        <v>64807</v>
      </c>
      <c r="I49" s="105">
        <f>'Ward Selection'!I164</f>
        <v>64.3</v>
      </c>
      <c r="J49" s="155">
        <f>'Ward Selection'!J164</f>
        <v>3707</v>
      </c>
      <c r="K49" s="147">
        <f>'Ward Selection'!K164</f>
        <v>76</v>
      </c>
    </row>
    <row r="50" spans="1:11" s="5" customFormat="1" x14ac:dyDescent="0.2">
      <c r="A50" s="28"/>
      <c r="B50" s="91" t="s">
        <v>265</v>
      </c>
      <c r="C50" s="66"/>
      <c r="D50" s="155">
        <f>'Ward Selection'!D165</f>
        <v>6745584</v>
      </c>
      <c r="E50" s="105">
        <f>'Ward Selection'!E165</f>
        <v>30.6</v>
      </c>
      <c r="F50" s="155">
        <f>'Ward Selection'!F165</f>
        <v>681492</v>
      </c>
      <c r="G50" s="105">
        <f>'Ward Selection'!G165</f>
        <v>30.6</v>
      </c>
      <c r="H50" s="155">
        <f>'Ward Selection'!H165</f>
        <v>30778</v>
      </c>
      <c r="I50" s="105">
        <f>'Ward Selection'!I165</f>
        <v>30.6</v>
      </c>
      <c r="J50" s="155">
        <f>'Ward Selection'!J165</f>
        <v>1755</v>
      </c>
      <c r="K50" s="147">
        <f>'Ward Selection'!K165</f>
        <v>36</v>
      </c>
    </row>
    <row r="51" spans="1:11" s="5" customFormat="1" x14ac:dyDescent="0.2">
      <c r="A51" s="28"/>
      <c r="B51" s="91" t="s">
        <v>266</v>
      </c>
      <c r="C51" s="66"/>
      <c r="D51" s="155">
        <f>'Ward Selection'!D166</f>
        <v>7229440</v>
      </c>
      <c r="E51" s="105">
        <f>'Ward Selection'!E166</f>
        <v>32.799999999999997</v>
      </c>
      <c r="F51" s="155">
        <f>'Ward Selection'!F166</f>
        <v>744071</v>
      </c>
      <c r="G51" s="105">
        <f>'Ward Selection'!G166</f>
        <v>33.5</v>
      </c>
      <c r="H51" s="155">
        <f>'Ward Selection'!H166</f>
        <v>34029</v>
      </c>
      <c r="I51" s="105">
        <f>'Ward Selection'!I166</f>
        <v>33.799999999999997</v>
      </c>
      <c r="J51" s="155">
        <f>'Ward Selection'!J166</f>
        <v>1952</v>
      </c>
      <c r="K51" s="147">
        <f>'Ward Selection'!K166</f>
        <v>40</v>
      </c>
    </row>
    <row r="52" spans="1:11" s="5" customFormat="1" x14ac:dyDescent="0.2">
      <c r="A52" s="28"/>
      <c r="B52" s="91" t="s">
        <v>267</v>
      </c>
      <c r="C52" s="66"/>
      <c r="D52" s="155">
        <f>'Ward Selection'!D167</f>
        <v>173760</v>
      </c>
      <c r="E52" s="105">
        <f>'Ward Selection'!E167</f>
        <v>0.8</v>
      </c>
      <c r="F52" s="155">
        <f>'Ward Selection'!F167</f>
        <v>9637</v>
      </c>
      <c r="G52" s="105">
        <f>'Ward Selection'!G167</f>
        <v>0.4</v>
      </c>
      <c r="H52" s="155">
        <f>'Ward Selection'!H167</f>
        <v>445</v>
      </c>
      <c r="I52" s="105">
        <f>'Ward Selection'!I167</f>
        <v>0.4</v>
      </c>
      <c r="J52" s="155">
        <f>'Ward Selection'!J167</f>
        <v>32</v>
      </c>
      <c r="K52" s="147">
        <f>'Ward Selection'!K167</f>
        <v>0.7</v>
      </c>
    </row>
    <row r="53" spans="1:11" s="5" customFormat="1" x14ac:dyDescent="0.2">
      <c r="A53" s="28"/>
      <c r="B53" s="91" t="s">
        <v>268</v>
      </c>
      <c r="C53" s="66"/>
      <c r="D53" s="155">
        <f>'Ward Selection'!D168</f>
        <v>3903550</v>
      </c>
      <c r="E53" s="105">
        <f>'Ward Selection'!E168</f>
        <v>17.7</v>
      </c>
      <c r="F53" s="155">
        <f>'Ward Selection'!F168</f>
        <v>402653</v>
      </c>
      <c r="G53" s="105">
        <f>'Ward Selection'!G168</f>
        <v>18.100000000000001</v>
      </c>
      <c r="H53" s="155">
        <f>'Ward Selection'!H168</f>
        <v>21032</v>
      </c>
      <c r="I53" s="105">
        <f>'Ward Selection'!I168</f>
        <v>20.9</v>
      </c>
      <c r="J53" s="155">
        <f>'Ward Selection'!J168</f>
        <v>650</v>
      </c>
      <c r="K53" s="147">
        <f>'Ward Selection'!K168</f>
        <v>13.3</v>
      </c>
    </row>
    <row r="54" spans="1:11" s="5" customFormat="1" ht="25.5" x14ac:dyDescent="0.2">
      <c r="A54" s="28"/>
      <c r="B54" s="91" t="s">
        <v>269</v>
      </c>
      <c r="C54" s="66"/>
      <c r="D54" s="155">
        <f>'Ward Selection'!D169</f>
        <v>2079778</v>
      </c>
      <c r="E54" s="105">
        <f>'Ward Selection'!E169</f>
        <v>9.4</v>
      </c>
      <c r="F54" s="155">
        <f>'Ward Selection'!F169</f>
        <v>272875</v>
      </c>
      <c r="G54" s="105">
        <f>'Ward Selection'!G169</f>
        <v>12.3</v>
      </c>
      <c r="H54" s="155">
        <f>'Ward Selection'!H169</f>
        <v>17831</v>
      </c>
      <c r="I54" s="105">
        <f>'Ward Selection'!I169</f>
        <v>17.7</v>
      </c>
      <c r="J54" s="155">
        <f>'Ward Selection'!J169</f>
        <v>486</v>
      </c>
      <c r="K54" s="147">
        <f>'Ward Selection'!K169</f>
        <v>10</v>
      </c>
    </row>
    <row r="55" spans="1:11" s="5" customFormat="1" x14ac:dyDescent="0.2">
      <c r="A55" s="28"/>
      <c r="B55" s="91" t="s">
        <v>270</v>
      </c>
      <c r="C55" s="66"/>
      <c r="D55" s="155">
        <f>'Ward Selection'!D170</f>
        <v>1823772</v>
      </c>
      <c r="E55" s="105">
        <f>'Ward Selection'!E170</f>
        <v>8.3000000000000007</v>
      </c>
      <c r="F55" s="155">
        <f>'Ward Selection'!F170</f>
        <v>129778</v>
      </c>
      <c r="G55" s="105">
        <f>'Ward Selection'!G170</f>
        <v>5.8</v>
      </c>
      <c r="H55" s="155">
        <f>'Ward Selection'!H170</f>
        <v>3201</v>
      </c>
      <c r="I55" s="105">
        <f>'Ward Selection'!I170</f>
        <v>3.2</v>
      </c>
      <c r="J55" s="155">
        <f>'Ward Selection'!J170</f>
        <v>164</v>
      </c>
      <c r="K55" s="147">
        <f>'Ward Selection'!K170</f>
        <v>3.4</v>
      </c>
    </row>
    <row r="56" spans="1:11" s="5" customFormat="1" x14ac:dyDescent="0.2">
      <c r="A56" s="28"/>
      <c r="B56" s="91" t="s">
        <v>271</v>
      </c>
      <c r="C56" s="66"/>
      <c r="D56" s="155">
        <f>'Ward Selection'!D171</f>
        <v>3715924</v>
      </c>
      <c r="E56" s="105">
        <f>'Ward Selection'!E171</f>
        <v>16.8</v>
      </c>
      <c r="F56" s="155">
        <f>'Ward Selection'!F171</f>
        <v>353448</v>
      </c>
      <c r="G56" s="105">
        <f>'Ward Selection'!G171</f>
        <v>15.9</v>
      </c>
      <c r="H56" s="155">
        <f>'Ward Selection'!H171</f>
        <v>12856</v>
      </c>
      <c r="I56" s="105">
        <f>'Ward Selection'!I171</f>
        <v>12.8</v>
      </c>
      <c r="J56" s="155">
        <f>'Ward Selection'!J171</f>
        <v>434</v>
      </c>
      <c r="K56" s="147">
        <f>'Ward Selection'!K171</f>
        <v>8.9</v>
      </c>
    </row>
    <row r="57" spans="1:11" s="5" customFormat="1" x14ac:dyDescent="0.2">
      <c r="A57" s="28"/>
      <c r="B57" s="91" t="s">
        <v>272</v>
      </c>
      <c r="C57" s="66"/>
      <c r="D57" s="155">
        <f>'Ward Selection'!D172</f>
        <v>3401675</v>
      </c>
      <c r="E57" s="105">
        <f>'Ward Selection'!E172</f>
        <v>15.4</v>
      </c>
      <c r="F57" s="155">
        <f>'Ward Selection'!F172</f>
        <v>321142</v>
      </c>
      <c r="G57" s="105">
        <f>'Ward Selection'!G172</f>
        <v>14.4</v>
      </c>
      <c r="H57" s="155">
        <f>'Ward Selection'!H172</f>
        <v>11812</v>
      </c>
      <c r="I57" s="105">
        <f>'Ward Selection'!I172</f>
        <v>11.7</v>
      </c>
      <c r="J57" s="155">
        <f>'Ward Selection'!J172</f>
        <v>388</v>
      </c>
      <c r="K57" s="147">
        <f>'Ward Selection'!K172</f>
        <v>8</v>
      </c>
    </row>
    <row r="58" spans="1:11" s="5" customFormat="1" x14ac:dyDescent="0.2">
      <c r="A58" s="28"/>
      <c r="B58" s="91" t="s">
        <v>273</v>
      </c>
      <c r="C58" s="66"/>
      <c r="D58" s="155">
        <f>'Ward Selection'!D173</f>
        <v>314249</v>
      </c>
      <c r="E58" s="105">
        <f>'Ward Selection'!E173</f>
        <v>1.4</v>
      </c>
      <c r="F58" s="155">
        <f>'Ward Selection'!F173</f>
        <v>32306</v>
      </c>
      <c r="G58" s="105">
        <f>'Ward Selection'!G173</f>
        <v>1.5</v>
      </c>
      <c r="H58" s="155">
        <f>'Ward Selection'!H173</f>
        <v>1044</v>
      </c>
      <c r="I58" s="105">
        <f>'Ward Selection'!I173</f>
        <v>1</v>
      </c>
      <c r="J58" s="155">
        <f>'Ward Selection'!J173</f>
        <v>46</v>
      </c>
      <c r="K58" s="147">
        <f>'Ward Selection'!K173</f>
        <v>0.9</v>
      </c>
    </row>
    <row r="59" spans="1:11" s="5" customFormat="1" x14ac:dyDescent="0.2">
      <c r="A59" s="29"/>
      <c r="B59" s="92" t="s">
        <v>274</v>
      </c>
      <c r="C59" s="70"/>
      <c r="D59" s="158">
        <f>'Ward Selection'!D174</f>
        <v>295110</v>
      </c>
      <c r="E59" s="106">
        <f>'Ward Selection'!E174</f>
        <v>1.3</v>
      </c>
      <c r="F59" s="158">
        <f>'Ward Selection'!F174</f>
        <v>32758</v>
      </c>
      <c r="G59" s="106">
        <f>'Ward Selection'!G174</f>
        <v>1.5</v>
      </c>
      <c r="H59" s="158">
        <f>'Ward Selection'!H174</f>
        <v>1594</v>
      </c>
      <c r="I59" s="106">
        <f>'Ward Selection'!I174</f>
        <v>1.6</v>
      </c>
      <c r="J59" s="158">
        <f>'Ward Selection'!J174</f>
        <v>55</v>
      </c>
      <c r="K59" s="148">
        <f>'Ward Selection'!K174</f>
        <v>1.1000000000000001</v>
      </c>
    </row>
    <row r="60" spans="1:11" s="5" customFormat="1" x14ac:dyDescent="0.2">
      <c r="A60" s="180"/>
      <c r="B60" s="92"/>
      <c r="C60" s="70"/>
      <c r="D60" s="158"/>
      <c r="E60" s="181"/>
      <c r="F60" s="158"/>
      <c r="G60" s="182"/>
      <c r="H60" s="134"/>
      <c r="I60" s="181"/>
      <c r="J60" s="137"/>
      <c r="K60" s="73"/>
    </row>
    <row r="61" spans="1:11" s="5" customFormat="1" ht="25.5" x14ac:dyDescent="0.2">
      <c r="A61" s="27" t="s">
        <v>364</v>
      </c>
      <c r="B61" s="93" t="s">
        <v>254</v>
      </c>
      <c r="C61" s="62"/>
      <c r="D61" s="156">
        <f>'Ward Selection'!D176</f>
        <v>22063368</v>
      </c>
      <c r="E61" s="63">
        <f>'Ward Selection'!E176</f>
        <v>100</v>
      </c>
      <c r="F61" s="156">
        <f>'Ward Selection'!F176</f>
        <v>2224059</v>
      </c>
      <c r="G61" s="63">
        <f>'Ward Selection'!G176</f>
        <v>100</v>
      </c>
      <c r="H61" s="156">
        <f>'Ward Selection'!H176</f>
        <v>100734</v>
      </c>
      <c r="I61" s="63">
        <f>'Ward Selection'!I176</f>
        <v>100</v>
      </c>
      <c r="J61" s="156">
        <f>'Ward Selection'!J176</f>
        <v>4878</v>
      </c>
      <c r="K61" s="146">
        <f>'Ward Selection'!K176</f>
        <v>100</v>
      </c>
    </row>
    <row r="62" spans="1:11" s="5" customFormat="1" ht="25.5" x14ac:dyDescent="0.2">
      <c r="A62" s="28" t="s">
        <v>365</v>
      </c>
      <c r="B62" s="91" t="s">
        <v>255</v>
      </c>
      <c r="C62" s="66"/>
      <c r="D62" s="155">
        <f>'Ward Selection'!D177</f>
        <v>594561</v>
      </c>
      <c r="E62" s="105">
        <f>'Ward Selection'!E177</f>
        <v>2.7</v>
      </c>
      <c r="F62" s="155">
        <f>'Ward Selection'!F177</f>
        <v>74100</v>
      </c>
      <c r="G62" s="105">
        <f>'Ward Selection'!G177</f>
        <v>3.3</v>
      </c>
      <c r="H62" s="155">
        <f>'Ward Selection'!H177</f>
        <v>932</v>
      </c>
      <c r="I62" s="105">
        <f>'Ward Selection'!I177</f>
        <v>0.9</v>
      </c>
      <c r="J62" s="155">
        <f>'Ward Selection'!J177</f>
        <v>63</v>
      </c>
      <c r="K62" s="147">
        <f>'Ward Selection'!K177</f>
        <v>1.3</v>
      </c>
    </row>
    <row r="63" spans="1:11" s="5" customFormat="1" x14ac:dyDescent="0.2">
      <c r="A63" s="28"/>
      <c r="B63" s="91" t="s">
        <v>256</v>
      </c>
      <c r="C63" s="66"/>
      <c r="D63" s="155">
        <f>'Ward Selection'!D178</f>
        <v>21468807</v>
      </c>
      <c r="E63" s="105">
        <f>'Ward Selection'!E178</f>
        <v>97.3</v>
      </c>
      <c r="F63" s="155">
        <f>'Ward Selection'!F178</f>
        <v>2149959</v>
      </c>
      <c r="G63" s="105">
        <f>'Ward Selection'!G178</f>
        <v>96.7</v>
      </c>
      <c r="H63" s="155">
        <f>'Ward Selection'!H178</f>
        <v>99802</v>
      </c>
      <c r="I63" s="105">
        <f>'Ward Selection'!I178</f>
        <v>99.1</v>
      </c>
      <c r="J63" s="155">
        <f>'Ward Selection'!J178</f>
        <v>4815</v>
      </c>
      <c r="K63" s="147">
        <f>'Ward Selection'!K178</f>
        <v>98.7</v>
      </c>
    </row>
    <row r="64" spans="1:11" s="5" customFormat="1" x14ac:dyDescent="0.2">
      <c r="A64" s="28"/>
      <c r="B64" s="91" t="s">
        <v>257</v>
      </c>
      <c r="C64" s="66"/>
      <c r="D64" s="155">
        <f>'Ward Selection'!D179</f>
        <v>1928596</v>
      </c>
      <c r="E64" s="105">
        <f>'Ward Selection'!E179</f>
        <v>8.6999999999999993</v>
      </c>
      <c r="F64" s="155">
        <f>'Ward Selection'!F179</f>
        <v>147894</v>
      </c>
      <c r="G64" s="105">
        <f>'Ward Selection'!G179</f>
        <v>6.6</v>
      </c>
      <c r="H64" s="155">
        <f>'Ward Selection'!H179</f>
        <v>4320</v>
      </c>
      <c r="I64" s="105">
        <f>'Ward Selection'!I179</f>
        <v>4.3</v>
      </c>
      <c r="J64" s="155">
        <f>'Ward Selection'!J179</f>
        <v>120</v>
      </c>
      <c r="K64" s="147">
        <f>'Ward Selection'!K179</f>
        <v>2.5</v>
      </c>
    </row>
    <row r="65" spans="1:11" s="5" customFormat="1" x14ac:dyDescent="0.2">
      <c r="A65" s="28"/>
      <c r="B65" s="91" t="s">
        <v>258</v>
      </c>
      <c r="C65" s="66"/>
      <c r="D65" s="155">
        <f>'Ward Selection'!D180</f>
        <v>1060967</v>
      </c>
      <c r="E65" s="105">
        <f>'Ward Selection'!E180</f>
        <v>4.8</v>
      </c>
      <c r="F65" s="155">
        <f>'Ward Selection'!F180</f>
        <v>82156</v>
      </c>
      <c r="G65" s="105">
        <f>'Ward Selection'!G180</f>
        <v>3.7</v>
      </c>
      <c r="H65" s="155">
        <f>'Ward Selection'!H180</f>
        <v>2487</v>
      </c>
      <c r="I65" s="105">
        <f>'Ward Selection'!I180</f>
        <v>2.5</v>
      </c>
      <c r="J65" s="155">
        <f>'Ward Selection'!J180</f>
        <v>67</v>
      </c>
      <c r="K65" s="147">
        <f>'Ward Selection'!K180</f>
        <v>1.4</v>
      </c>
    </row>
    <row r="66" spans="1:11" s="5" customFormat="1" x14ac:dyDescent="0.2">
      <c r="A66" s="28"/>
      <c r="B66" s="91" t="s">
        <v>259</v>
      </c>
      <c r="C66" s="66"/>
      <c r="D66" s="155">
        <f>'Ward Selection'!D181</f>
        <v>2.4</v>
      </c>
      <c r="E66" s="105">
        <f>'Ward Selection'!E181</f>
        <v>0</v>
      </c>
      <c r="F66" s="155">
        <f>'Ward Selection'!F181</f>
        <v>2.2999999999999998</v>
      </c>
      <c r="G66" s="105">
        <f>'Ward Selection'!G181</f>
        <v>0</v>
      </c>
      <c r="H66" s="155">
        <f>'Ward Selection'!H181</f>
        <v>2.2999999999999998</v>
      </c>
      <c r="I66" s="105">
        <f>'Ward Selection'!I181</f>
        <v>0</v>
      </c>
      <c r="J66" s="155">
        <f>'Ward Selection'!J181</f>
        <v>2.2999999999999998</v>
      </c>
      <c r="K66" s="147" t="str">
        <f>'Ward Selection'!K181</f>
        <v>N/A</v>
      </c>
    </row>
    <row r="67" spans="1:11" s="5" customFormat="1" x14ac:dyDescent="0.2">
      <c r="A67" s="28"/>
      <c r="B67" s="91" t="s">
        <v>260</v>
      </c>
      <c r="C67" s="66"/>
      <c r="D67" s="155">
        <f>'Ward Selection'!D182</f>
        <v>5.4</v>
      </c>
      <c r="E67" s="105">
        <f>'Ward Selection'!E182</f>
        <v>0</v>
      </c>
      <c r="F67" s="155">
        <f>'Ward Selection'!F182</f>
        <v>5.4</v>
      </c>
      <c r="G67" s="105">
        <f>'Ward Selection'!G182</f>
        <v>0</v>
      </c>
      <c r="H67" s="155">
        <f>'Ward Selection'!H182</f>
        <v>5.3</v>
      </c>
      <c r="I67" s="105">
        <f>'Ward Selection'!I182</f>
        <v>0</v>
      </c>
      <c r="J67" s="155">
        <f>'Ward Selection'!J182</f>
        <v>5.7</v>
      </c>
      <c r="K67" s="147" t="str">
        <f>'Ward Selection'!K182</f>
        <v>N/A</v>
      </c>
    </row>
    <row r="68" spans="1:11" s="5" customFormat="1" x14ac:dyDescent="0.2">
      <c r="A68" s="29"/>
      <c r="B68" s="92" t="s">
        <v>261</v>
      </c>
      <c r="C68" s="70"/>
      <c r="D68" s="158">
        <f>'Ward Selection'!D183</f>
        <v>2.7</v>
      </c>
      <c r="E68" s="106">
        <f>'Ward Selection'!E183</f>
        <v>0</v>
      </c>
      <c r="F68" s="158">
        <f>'Ward Selection'!F183</f>
        <v>2.7</v>
      </c>
      <c r="G68" s="106">
        <f>'Ward Selection'!G183</f>
        <v>0</v>
      </c>
      <c r="H68" s="158">
        <f>'Ward Selection'!H183</f>
        <v>2.7</v>
      </c>
      <c r="I68" s="106">
        <f>'Ward Selection'!I183</f>
        <v>0</v>
      </c>
      <c r="J68" s="158">
        <f>'Ward Selection'!J183</f>
        <v>2.9</v>
      </c>
      <c r="K68" s="148" t="str">
        <f>'Ward Selection'!K183</f>
        <v>N/A</v>
      </c>
    </row>
    <row r="69" spans="1:11" s="5" customFormat="1" x14ac:dyDescent="0.2">
      <c r="A69" s="104"/>
      <c r="B69" s="91"/>
      <c r="C69" s="66"/>
      <c r="D69" s="155"/>
      <c r="E69" s="150"/>
      <c r="F69" s="155"/>
      <c r="G69" s="151"/>
      <c r="H69" s="133"/>
      <c r="I69" s="150"/>
      <c r="J69" s="174"/>
      <c r="K69" s="69"/>
    </row>
    <row r="70" spans="1:11" s="5" customFormat="1" x14ac:dyDescent="0.2">
      <c r="A70" s="27" t="s">
        <v>83</v>
      </c>
      <c r="B70" s="93" t="s">
        <v>69</v>
      </c>
      <c r="C70" s="62"/>
      <c r="D70" s="156">
        <f>'Ward Selection'!D185</f>
        <v>22976066</v>
      </c>
      <c r="E70" s="63">
        <f>'Ward Selection'!E185</f>
        <v>100</v>
      </c>
      <c r="F70" s="156">
        <f>'Ward Selection'!F185</f>
        <v>2319910</v>
      </c>
      <c r="G70" s="63">
        <f>'Ward Selection'!G185</f>
        <v>100</v>
      </c>
      <c r="H70" s="156">
        <f>'Ward Selection'!H185</f>
        <v>104975</v>
      </c>
      <c r="I70" s="63">
        <f>'Ward Selection'!I185</f>
        <v>100</v>
      </c>
      <c r="J70" s="156">
        <f>'Ward Selection'!J185</f>
        <v>5061</v>
      </c>
      <c r="K70" s="146">
        <f>'Ward Selection'!K185</f>
        <v>100</v>
      </c>
    </row>
    <row r="71" spans="1:11" s="5" customFormat="1" x14ac:dyDescent="0.2">
      <c r="A71" s="28"/>
      <c r="B71" s="91" t="s">
        <v>70</v>
      </c>
      <c r="C71" s="66"/>
      <c r="D71" s="155">
        <f>'Ward Selection'!D186</f>
        <v>22955448</v>
      </c>
      <c r="E71" s="67">
        <f>'Ward Selection'!E186</f>
        <v>99.9</v>
      </c>
      <c r="F71" s="155">
        <f>'Ward Selection'!F186</f>
        <v>2318516</v>
      </c>
      <c r="G71" s="67">
        <f>'Ward Selection'!G186</f>
        <v>99.9</v>
      </c>
      <c r="H71" s="155">
        <f>'Ward Selection'!H186</f>
        <v>104926</v>
      </c>
      <c r="I71" s="67">
        <f>'Ward Selection'!I186</f>
        <v>100</v>
      </c>
      <c r="J71" s="155">
        <f>'Ward Selection'!J186</f>
        <v>5060</v>
      </c>
      <c r="K71" s="157">
        <f>'Ward Selection'!K186</f>
        <v>100</v>
      </c>
    </row>
    <row r="72" spans="1:11" s="5" customFormat="1" x14ac:dyDescent="0.2">
      <c r="A72" s="28"/>
      <c r="B72" s="91" t="s">
        <v>71</v>
      </c>
      <c r="C72" s="66"/>
      <c r="D72" s="155">
        <f>'Ward Selection'!D187</f>
        <v>6700</v>
      </c>
      <c r="E72" s="105">
        <f>'Ward Selection'!E187</f>
        <v>0</v>
      </c>
      <c r="F72" s="155">
        <f>'Ward Selection'!F187</f>
        <v>410</v>
      </c>
      <c r="G72" s="105">
        <f>'Ward Selection'!G187</f>
        <v>0</v>
      </c>
      <c r="H72" s="155">
        <f>'Ward Selection'!H187</f>
        <v>11</v>
      </c>
      <c r="I72" s="105">
        <f>'Ward Selection'!I187</f>
        <v>0</v>
      </c>
      <c r="J72" s="155">
        <f>'Ward Selection'!J187</f>
        <v>0</v>
      </c>
      <c r="K72" s="147">
        <f>'Ward Selection'!K187</f>
        <v>0</v>
      </c>
    </row>
    <row r="73" spans="1:11" s="5" customFormat="1" ht="25.5" x14ac:dyDescent="0.2">
      <c r="A73" s="28"/>
      <c r="B73" s="91" t="s">
        <v>72</v>
      </c>
      <c r="C73" s="66"/>
      <c r="D73" s="155">
        <f>'Ward Selection'!D188</f>
        <v>13918</v>
      </c>
      <c r="E73" s="105">
        <f>'Ward Selection'!E188</f>
        <v>0.1</v>
      </c>
      <c r="F73" s="155">
        <f>'Ward Selection'!F188</f>
        <v>984</v>
      </c>
      <c r="G73" s="105">
        <f>'Ward Selection'!G188</f>
        <v>0</v>
      </c>
      <c r="H73" s="155">
        <f>'Ward Selection'!H188</f>
        <v>38</v>
      </c>
      <c r="I73" s="105">
        <f>'Ward Selection'!I188</f>
        <v>0</v>
      </c>
      <c r="J73" s="155">
        <f>'Ward Selection'!J188</f>
        <v>1</v>
      </c>
      <c r="K73" s="147">
        <f>'Ward Selection'!K188</f>
        <v>0</v>
      </c>
    </row>
    <row r="74" spans="1:11" s="5" customFormat="1" x14ac:dyDescent="0.2">
      <c r="A74" s="28"/>
      <c r="B74" s="91" t="s">
        <v>73</v>
      </c>
      <c r="C74" s="66"/>
      <c r="D74" s="155">
        <f>'Ward Selection'!D189</f>
        <v>23044097</v>
      </c>
      <c r="E74" s="67">
        <f>'Ward Selection'!E189</f>
        <v>100</v>
      </c>
      <c r="F74" s="155">
        <f>'Ward Selection'!F189</f>
        <v>2324385</v>
      </c>
      <c r="G74" s="67">
        <f>'Ward Selection'!G189</f>
        <v>100</v>
      </c>
      <c r="H74" s="155">
        <f>'Ward Selection'!H189</f>
        <v>105123</v>
      </c>
      <c r="I74" s="67">
        <f>'Ward Selection'!I189</f>
        <v>100</v>
      </c>
      <c r="J74" s="155">
        <f>'Ward Selection'!J189</f>
        <v>5063</v>
      </c>
      <c r="K74" s="157">
        <f>'Ward Selection'!K189</f>
        <v>100</v>
      </c>
    </row>
    <row r="75" spans="1:11" s="5" customFormat="1" ht="25.5" x14ac:dyDescent="0.2">
      <c r="A75" s="28"/>
      <c r="B75" s="91" t="s">
        <v>74</v>
      </c>
      <c r="C75" s="66"/>
      <c r="D75" s="155">
        <f>'Ward Selection'!D190</f>
        <v>22063368</v>
      </c>
      <c r="E75" s="105">
        <f>'Ward Selection'!E190</f>
        <v>95.7</v>
      </c>
      <c r="F75" s="155">
        <f>'Ward Selection'!F190</f>
        <v>2224059</v>
      </c>
      <c r="G75" s="105">
        <f>'Ward Selection'!G190</f>
        <v>95.7</v>
      </c>
      <c r="H75" s="155">
        <f>'Ward Selection'!H190</f>
        <v>100734</v>
      </c>
      <c r="I75" s="105">
        <f>'Ward Selection'!I190</f>
        <v>95.8</v>
      </c>
      <c r="J75" s="155">
        <f>'Ward Selection'!J190</f>
        <v>4878</v>
      </c>
      <c r="K75" s="147">
        <f>'Ward Selection'!K190</f>
        <v>96.3</v>
      </c>
    </row>
    <row r="76" spans="1:11" s="5" customFormat="1" x14ac:dyDescent="0.2">
      <c r="A76" s="28"/>
      <c r="B76" s="91" t="s">
        <v>75</v>
      </c>
      <c r="C76" s="66"/>
      <c r="D76" s="155">
        <f>'Ward Selection'!D191</f>
        <v>980729</v>
      </c>
      <c r="E76" s="105">
        <f>'Ward Selection'!E191</f>
        <v>4.3</v>
      </c>
      <c r="F76" s="155">
        <f>'Ward Selection'!F191</f>
        <v>100326</v>
      </c>
      <c r="G76" s="105">
        <f>'Ward Selection'!G191</f>
        <v>4.3</v>
      </c>
      <c r="H76" s="155">
        <f>'Ward Selection'!H191</f>
        <v>4389</v>
      </c>
      <c r="I76" s="105">
        <f>'Ward Selection'!I191</f>
        <v>4.2</v>
      </c>
      <c r="J76" s="155">
        <f>'Ward Selection'!J191</f>
        <v>185</v>
      </c>
      <c r="K76" s="147">
        <f>'Ward Selection'!K191</f>
        <v>3.7</v>
      </c>
    </row>
    <row r="77" spans="1:11" s="5" customFormat="1" x14ac:dyDescent="0.2">
      <c r="A77" s="28"/>
      <c r="B77" s="91" t="s">
        <v>76</v>
      </c>
      <c r="C77" s="66"/>
      <c r="D77" s="155">
        <f>'Ward Selection'!D192</f>
        <v>5128552</v>
      </c>
      <c r="E77" s="105">
        <f>'Ward Selection'!E192</f>
        <v>22.3</v>
      </c>
      <c r="F77" s="155">
        <f>'Ward Selection'!F192</f>
        <v>477309</v>
      </c>
      <c r="G77" s="105">
        <f>'Ward Selection'!G192</f>
        <v>20.5</v>
      </c>
      <c r="H77" s="155">
        <f>'Ward Selection'!H192</f>
        <v>23187</v>
      </c>
      <c r="I77" s="105">
        <f>'Ward Selection'!I192</f>
        <v>22.1</v>
      </c>
      <c r="J77" s="155">
        <f>'Ward Selection'!J192</f>
        <v>1674</v>
      </c>
      <c r="K77" s="147">
        <f>'Ward Selection'!K192</f>
        <v>33.1</v>
      </c>
    </row>
    <row r="78" spans="1:11" s="5" customFormat="1" x14ac:dyDescent="0.2">
      <c r="A78" s="28"/>
      <c r="B78" s="91" t="s">
        <v>77</v>
      </c>
      <c r="C78" s="66"/>
      <c r="D78" s="155">
        <f>'Ward Selection'!D193</f>
        <v>7076395</v>
      </c>
      <c r="E78" s="105">
        <f>'Ward Selection'!E193</f>
        <v>30.7</v>
      </c>
      <c r="F78" s="155">
        <f>'Ward Selection'!F193</f>
        <v>849261</v>
      </c>
      <c r="G78" s="105">
        <f>'Ward Selection'!G193</f>
        <v>36.5</v>
      </c>
      <c r="H78" s="155">
        <f>'Ward Selection'!H193</f>
        <v>47159</v>
      </c>
      <c r="I78" s="105">
        <f>'Ward Selection'!I193</f>
        <v>44.9</v>
      </c>
      <c r="J78" s="155">
        <f>'Ward Selection'!J193</f>
        <v>1801</v>
      </c>
      <c r="K78" s="147">
        <f>'Ward Selection'!K193</f>
        <v>35.6</v>
      </c>
    </row>
    <row r="79" spans="1:11" s="5" customFormat="1" ht="25.5" x14ac:dyDescent="0.2">
      <c r="A79" s="28"/>
      <c r="B79" s="91" t="s">
        <v>78</v>
      </c>
      <c r="C79" s="66"/>
      <c r="D79" s="155">
        <f>'Ward Selection'!D194</f>
        <v>5642969</v>
      </c>
      <c r="E79" s="105">
        <f>'Ward Selection'!E194</f>
        <v>24.5</v>
      </c>
      <c r="F79" s="155">
        <f>'Ward Selection'!F194</f>
        <v>643879</v>
      </c>
      <c r="G79" s="105">
        <f>'Ward Selection'!G194</f>
        <v>27.7</v>
      </c>
      <c r="H79" s="155">
        <f>'Ward Selection'!H194</f>
        <v>26317</v>
      </c>
      <c r="I79" s="105">
        <f>'Ward Selection'!I194</f>
        <v>25</v>
      </c>
      <c r="J79" s="155">
        <f>'Ward Selection'!J194</f>
        <v>1321</v>
      </c>
      <c r="K79" s="147">
        <f>'Ward Selection'!K194</f>
        <v>26.1</v>
      </c>
    </row>
    <row r="80" spans="1:11" s="5" customFormat="1" ht="25.5" x14ac:dyDescent="0.2">
      <c r="A80" s="28"/>
      <c r="B80" s="91" t="s">
        <v>79</v>
      </c>
      <c r="C80" s="66"/>
      <c r="D80" s="155">
        <f>'Ward Selection'!D195</f>
        <v>3854451</v>
      </c>
      <c r="E80" s="105">
        <f>'Ward Selection'!E195</f>
        <v>16.7</v>
      </c>
      <c r="F80" s="155">
        <f>'Ward Selection'!F195</f>
        <v>275124</v>
      </c>
      <c r="G80" s="105">
        <f>'Ward Selection'!G195</f>
        <v>11.8</v>
      </c>
      <c r="H80" s="155">
        <f>'Ward Selection'!H195</f>
        <v>6790</v>
      </c>
      <c r="I80" s="105">
        <f>'Ward Selection'!I195</f>
        <v>6.5</v>
      </c>
      <c r="J80" s="155">
        <f>'Ward Selection'!J195</f>
        <v>192</v>
      </c>
      <c r="K80" s="147">
        <f>'Ward Selection'!K195</f>
        <v>3.8</v>
      </c>
    </row>
    <row r="81" spans="1:11" s="5" customFormat="1" ht="25.5" x14ac:dyDescent="0.2">
      <c r="A81" s="28"/>
      <c r="B81" s="91" t="s">
        <v>80</v>
      </c>
      <c r="C81" s="66"/>
      <c r="D81" s="155">
        <f>'Ward Selection'!D196</f>
        <v>984284</v>
      </c>
      <c r="E81" s="105">
        <f>'Ward Selection'!E196</f>
        <v>4.3</v>
      </c>
      <c r="F81" s="155">
        <f>'Ward Selection'!F196</f>
        <v>51591</v>
      </c>
      <c r="G81" s="105">
        <f>'Ward Selection'!G196</f>
        <v>2.2000000000000002</v>
      </c>
      <c r="H81" s="155">
        <f>'Ward Selection'!H196</f>
        <v>886</v>
      </c>
      <c r="I81" s="105">
        <f>'Ward Selection'!I196</f>
        <v>0.8</v>
      </c>
      <c r="J81" s="155">
        <f>'Ward Selection'!J196</f>
        <v>35</v>
      </c>
      <c r="K81" s="147">
        <f>'Ward Selection'!K196</f>
        <v>0.7</v>
      </c>
    </row>
    <row r="82" spans="1:11" s="5" customFormat="1" ht="25.5" x14ac:dyDescent="0.2">
      <c r="A82" s="28"/>
      <c r="B82" s="91" t="s">
        <v>81</v>
      </c>
      <c r="C82" s="66"/>
      <c r="D82" s="155">
        <f>'Ward Selection'!D197</f>
        <v>257218</v>
      </c>
      <c r="E82" s="105">
        <f>'Ward Selection'!E197</f>
        <v>1.1000000000000001</v>
      </c>
      <c r="F82" s="155">
        <f>'Ward Selection'!F197</f>
        <v>21743</v>
      </c>
      <c r="G82" s="105">
        <f>'Ward Selection'!G197</f>
        <v>0.9</v>
      </c>
      <c r="H82" s="155">
        <f>'Ward Selection'!H197</f>
        <v>735</v>
      </c>
      <c r="I82" s="105">
        <f>'Ward Selection'!I197</f>
        <v>0.7</v>
      </c>
      <c r="J82" s="155">
        <f>'Ward Selection'!J197</f>
        <v>36</v>
      </c>
      <c r="K82" s="147">
        <f>'Ward Selection'!K197</f>
        <v>0.7</v>
      </c>
    </row>
    <row r="83" spans="1:11" s="5" customFormat="1" x14ac:dyDescent="0.2">
      <c r="A83" s="29"/>
      <c r="B83" s="92" t="s">
        <v>82</v>
      </c>
      <c r="C83" s="70"/>
      <c r="D83" s="158">
        <f>'Ward Selection'!D198</f>
        <v>100228</v>
      </c>
      <c r="E83" s="106">
        <f>'Ward Selection'!E198</f>
        <v>0.4</v>
      </c>
      <c r="F83" s="158">
        <f>'Ward Selection'!F198</f>
        <v>5478</v>
      </c>
      <c r="G83" s="106">
        <f>'Ward Selection'!G198</f>
        <v>0.2</v>
      </c>
      <c r="H83" s="158">
        <f>'Ward Selection'!H198</f>
        <v>49</v>
      </c>
      <c r="I83" s="106">
        <f>'Ward Selection'!I198</f>
        <v>0</v>
      </c>
      <c r="J83" s="158">
        <f>'Ward Selection'!J198</f>
        <v>4</v>
      </c>
      <c r="K83" s="148">
        <f>'Ward Selection'!K198</f>
        <v>0.1</v>
      </c>
    </row>
    <row r="84" spans="1:11" s="5" customFormat="1" x14ac:dyDescent="0.2">
      <c r="A84" s="180"/>
      <c r="B84" s="92"/>
      <c r="C84" s="70"/>
      <c r="D84" s="158"/>
      <c r="E84" s="181"/>
      <c r="F84" s="158"/>
      <c r="G84" s="182"/>
      <c r="H84" s="134"/>
      <c r="I84" s="181"/>
      <c r="J84" s="137"/>
      <c r="K84" s="73"/>
    </row>
    <row r="85" spans="1:11" s="5" customFormat="1" x14ac:dyDescent="0.2">
      <c r="A85" s="27" t="s">
        <v>40</v>
      </c>
      <c r="B85" s="93" t="s">
        <v>33</v>
      </c>
      <c r="C85" s="62"/>
      <c r="D85" s="156">
        <f>'Ward Selection'!D200</f>
        <v>22063368</v>
      </c>
      <c r="E85" s="63">
        <f>'Ward Selection'!E200</f>
        <v>100</v>
      </c>
      <c r="F85" s="156">
        <f>'Ward Selection'!F200</f>
        <v>2224059</v>
      </c>
      <c r="G85" s="63">
        <f>'Ward Selection'!G200</f>
        <v>100</v>
      </c>
      <c r="H85" s="156">
        <f>'Ward Selection'!H200</f>
        <v>100734</v>
      </c>
      <c r="I85" s="63">
        <f>'Ward Selection'!I200</f>
        <v>100</v>
      </c>
      <c r="J85" s="156">
        <f>'Ward Selection'!J200</f>
        <v>4878</v>
      </c>
      <c r="K85" s="146">
        <f>'Ward Selection'!K200</f>
        <v>100</v>
      </c>
    </row>
    <row r="86" spans="1:11" s="5" customFormat="1" x14ac:dyDescent="0.2">
      <c r="A86" s="28"/>
      <c r="B86" s="91" t="s">
        <v>34</v>
      </c>
      <c r="C86" s="66"/>
      <c r="D86" s="155">
        <f>'Ward Selection'!D201</f>
        <v>5691251</v>
      </c>
      <c r="E86" s="105">
        <f>'Ward Selection'!E201</f>
        <v>25.8</v>
      </c>
      <c r="F86" s="155">
        <f>'Ward Selection'!F201</f>
        <v>612903</v>
      </c>
      <c r="G86" s="105">
        <f>'Ward Selection'!G201</f>
        <v>27.6</v>
      </c>
      <c r="H86" s="155">
        <f>'Ward Selection'!H201</f>
        <v>27108</v>
      </c>
      <c r="I86" s="105">
        <f>'Ward Selection'!I201</f>
        <v>26.9</v>
      </c>
      <c r="J86" s="155">
        <f>'Ward Selection'!J201</f>
        <v>721</v>
      </c>
      <c r="K86" s="147">
        <f>'Ward Selection'!K201</f>
        <v>14.8</v>
      </c>
    </row>
    <row r="87" spans="1:11" s="5" customFormat="1" x14ac:dyDescent="0.2">
      <c r="A87" s="28"/>
      <c r="B87" s="91" t="s">
        <v>35</v>
      </c>
      <c r="C87" s="66"/>
      <c r="D87" s="155">
        <f>'Ward Selection'!D202</f>
        <v>9301776</v>
      </c>
      <c r="E87" s="105">
        <f>'Ward Selection'!E202</f>
        <v>42.2</v>
      </c>
      <c r="F87" s="155">
        <f>'Ward Selection'!F202</f>
        <v>954222</v>
      </c>
      <c r="G87" s="105">
        <f>'Ward Selection'!G202</f>
        <v>42.9</v>
      </c>
      <c r="H87" s="155">
        <f>'Ward Selection'!H202</f>
        <v>43197</v>
      </c>
      <c r="I87" s="105">
        <f>'Ward Selection'!I202</f>
        <v>42.9</v>
      </c>
      <c r="J87" s="155">
        <f>'Ward Selection'!J202</f>
        <v>2059</v>
      </c>
      <c r="K87" s="147">
        <f>'Ward Selection'!K202</f>
        <v>42.2</v>
      </c>
    </row>
    <row r="88" spans="1:11" s="5" customFormat="1" x14ac:dyDescent="0.2">
      <c r="A88" s="28"/>
      <c r="B88" s="91" t="s">
        <v>36</v>
      </c>
      <c r="C88" s="66"/>
      <c r="D88" s="155">
        <f>'Ward Selection'!D203</f>
        <v>5441593</v>
      </c>
      <c r="E88" s="105">
        <f>'Ward Selection'!E203</f>
        <v>24.7</v>
      </c>
      <c r="F88" s="155">
        <f>'Ward Selection'!F203</f>
        <v>521858</v>
      </c>
      <c r="G88" s="105">
        <f>'Ward Selection'!G203</f>
        <v>23.5</v>
      </c>
      <c r="H88" s="155">
        <f>'Ward Selection'!H203</f>
        <v>24317</v>
      </c>
      <c r="I88" s="105">
        <f>'Ward Selection'!I203</f>
        <v>24.1</v>
      </c>
      <c r="J88" s="155">
        <f>'Ward Selection'!J203</f>
        <v>1635</v>
      </c>
      <c r="K88" s="147">
        <f>'Ward Selection'!K203</f>
        <v>33.5</v>
      </c>
    </row>
    <row r="89" spans="1:11" s="5" customFormat="1" x14ac:dyDescent="0.2">
      <c r="A89" s="28"/>
      <c r="B89" s="91" t="s">
        <v>37</v>
      </c>
      <c r="C89" s="66"/>
      <c r="D89" s="155">
        <f>'Ward Selection'!D204</f>
        <v>1203865</v>
      </c>
      <c r="E89" s="105">
        <f>'Ward Selection'!E204</f>
        <v>5.5</v>
      </c>
      <c r="F89" s="155">
        <f>'Ward Selection'!F204</f>
        <v>102611</v>
      </c>
      <c r="G89" s="105">
        <f>'Ward Selection'!G204</f>
        <v>4.5999999999999996</v>
      </c>
      <c r="H89" s="155">
        <f>'Ward Selection'!H204</f>
        <v>4804</v>
      </c>
      <c r="I89" s="105">
        <f>'Ward Selection'!I204</f>
        <v>4.8</v>
      </c>
      <c r="J89" s="155">
        <f>'Ward Selection'!J204</f>
        <v>346</v>
      </c>
      <c r="K89" s="147">
        <f>'Ward Selection'!K204</f>
        <v>7.1</v>
      </c>
    </row>
    <row r="90" spans="1:11" s="5" customFormat="1" x14ac:dyDescent="0.2">
      <c r="A90" s="28"/>
      <c r="B90" s="91" t="s">
        <v>38</v>
      </c>
      <c r="C90" s="66"/>
      <c r="D90" s="155">
        <f>'Ward Selection'!D205</f>
        <v>424883</v>
      </c>
      <c r="E90" s="105">
        <f>'Ward Selection'!E205</f>
        <v>1.9</v>
      </c>
      <c r="F90" s="155">
        <f>'Ward Selection'!F205</f>
        <v>32465</v>
      </c>
      <c r="G90" s="105">
        <f>'Ward Selection'!G205</f>
        <v>1.5</v>
      </c>
      <c r="H90" s="155">
        <f>'Ward Selection'!H205</f>
        <v>1308</v>
      </c>
      <c r="I90" s="105">
        <f>'Ward Selection'!I205</f>
        <v>1.3</v>
      </c>
      <c r="J90" s="155">
        <f>'Ward Selection'!J205</f>
        <v>117</v>
      </c>
      <c r="K90" s="147">
        <f>'Ward Selection'!K205</f>
        <v>2.4</v>
      </c>
    </row>
    <row r="91" spans="1:11" s="5" customFormat="1" x14ac:dyDescent="0.2">
      <c r="A91" s="28"/>
      <c r="B91" s="171" t="s">
        <v>39</v>
      </c>
      <c r="C91" s="70"/>
      <c r="D91" s="158">
        <f>'Ward Selection'!D206</f>
        <v>25696833</v>
      </c>
      <c r="E91" s="106" t="s">
        <v>348</v>
      </c>
      <c r="F91" s="158">
        <f>'Ward Selection'!F206</f>
        <v>2451298</v>
      </c>
      <c r="G91" s="106" t="s">
        <v>348</v>
      </c>
      <c r="H91" s="158">
        <f>'Ward Selection'!H206</f>
        <v>112010</v>
      </c>
      <c r="I91" s="106" t="s">
        <v>348</v>
      </c>
      <c r="J91" s="158">
        <f>'Ward Selection'!J206</f>
        <v>6877</v>
      </c>
      <c r="K91" s="148" t="s">
        <v>348</v>
      </c>
    </row>
    <row r="92" spans="1:11" s="5" customFormat="1" x14ac:dyDescent="0.2">
      <c r="A92" s="179"/>
      <c r="B92" s="170"/>
      <c r="D92" s="67"/>
      <c r="E92" s="150"/>
      <c r="F92" s="67"/>
      <c r="G92" s="151"/>
      <c r="H92" s="68"/>
      <c r="I92" s="150"/>
      <c r="J92" s="75"/>
      <c r="K92" s="111"/>
    </row>
    <row r="93" spans="1:11" s="5" customFormat="1" x14ac:dyDescent="0.2">
      <c r="A93" s="26"/>
      <c r="G93" s="48"/>
      <c r="J93" s="55"/>
      <c r="K93" s="21"/>
    </row>
    <row r="94" spans="1:11" s="145" customFormat="1" ht="105.75" customHeight="1" x14ac:dyDescent="0.2">
      <c r="A94" s="26" t="s">
        <v>430</v>
      </c>
      <c r="B94" s="203" t="s">
        <v>416</v>
      </c>
      <c r="C94" s="216"/>
      <c r="D94" s="216"/>
      <c r="E94" s="216"/>
      <c r="F94" s="216"/>
      <c r="G94" s="216"/>
      <c r="H94" s="216"/>
      <c r="I94" s="216"/>
      <c r="J94" s="216"/>
      <c r="K94" s="217"/>
    </row>
    <row r="95" spans="1:11" s="5" customFormat="1" x14ac:dyDescent="0.2">
      <c r="A95" s="26"/>
      <c r="B95" s="140"/>
      <c r="G95" s="48"/>
      <c r="J95" s="55"/>
      <c r="K95" s="21"/>
    </row>
    <row r="96" spans="1:11" s="5" customFormat="1" x14ac:dyDescent="0.2">
      <c r="A96" s="26"/>
      <c r="B96" s="143" t="s">
        <v>426</v>
      </c>
      <c r="G96" s="48"/>
      <c r="J96" s="55"/>
      <c r="K96" s="21"/>
    </row>
    <row r="97" spans="1:11" s="5" customFormat="1" ht="90" customHeight="1" x14ac:dyDescent="0.2">
      <c r="A97" s="26"/>
      <c r="B97" s="204" t="s">
        <v>427</v>
      </c>
      <c r="C97" s="205"/>
      <c r="D97" s="205"/>
      <c r="E97" s="205"/>
      <c r="F97" s="205"/>
      <c r="G97" s="205"/>
      <c r="H97" s="205"/>
      <c r="I97" s="205"/>
      <c r="J97" s="205"/>
      <c r="K97" s="206"/>
    </row>
  </sheetData>
  <mergeCells count="5">
    <mergeCell ref="A1:B1"/>
    <mergeCell ref="D1:K1"/>
    <mergeCell ref="J2:K2"/>
    <mergeCell ref="B97:K97"/>
    <mergeCell ref="B94:K94"/>
  </mergeCells>
  <phoneticPr fontId="15" type="noConversion"/>
  <printOptions horizontalCentered="1"/>
  <pageMargins left="0.70866141732283472" right="0.70866141732283472" top="0.74803149606299213" bottom="0.74803149606299213" header="0.31496062992125984" footer="0.31496062992125984"/>
  <pageSetup paperSize="9" orientation="landscape" r:id="rId1"/>
  <rowBreaks count="3" manualBreakCount="3">
    <brk id="19" max="16383" man="1"/>
    <brk id="34" max="16383" man="1"/>
    <brk id="6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9"/>
  <sheetViews>
    <sheetView workbookViewId="0">
      <selection activeCell="A29" sqref="A29:IV65536"/>
    </sheetView>
  </sheetViews>
  <sheetFormatPr defaultColWidth="0" defaultRowHeight="12.75" zeroHeight="1" x14ac:dyDescent="0.2"/>
  <cols>
    <col min="1" max="1" width="15.85546875" customWidth="1"/>
    <col min="2" max="2" width="39.140625" customWidth="1"/>
    <col min="3" max="3" width="0" hidden="1" customWidth="1"/>
    <col min="4" max="4" width="10.140625" bestFit="1" customWidth="1"/>
    <col min="5" max="11" width="9.140625" customWidth="1"/>
  </cols>
  <sheetData>
    <row r="1" spans="1:11" s="25" customFormat="1" ht="18" x14ac:dyDescent="0.25">
      <c r="A1" s="198" t="s">
        <v>319</v>
      </c>
      <c r="B1" s="199"/>
      <c r="C1" s="78"/>
      <c r="D1" s="200" t="s">
        <v>320</v>
      </c>
      <c r="E1" s="201"/>
      <c r="F1" s="201"/>
      <c r="G1" s="201"/>
      <c r="H1" s="201"/>
      <c r="I1" s="201"/>
      <c r="J1" s="201"/>
      <c r="K1" s="201"/>
    </row>
    <row r="2" spans="1:11" s="36" customFormat="1" ht="25.5" x14ac:dyDescent="0.2">
      <c r="A2" s="33"/>
      <c r="B2" s="33"/>
      <c r="C2" s="79"/>
      <c r="D2" s="33" t="s">
        <v>58</v>
      </c>
      <c r="E2" s="34"/>
      <c r="F2" s="79" t="s">
        <v>321</v>
      </c>
      <c r="G2" s="49"/>
      <c r="H2" s="98" t="s">
        <v>322</v>
      </c>
      <c r="I2" s="34"/>
      <c r="J2" s="212" t="str">
        <f>'Ward Selection'!J4</f>
        <v>Penistone West Ward</v>
      </c>
      <c r="K2" s="213"/>
    </row>
    <row r="3" spans="1:11" s="5" customFormat="1" x14ac:dyDescent="0.2">
      <c r="A3" s="51"/>
      <c r="B3" s="52"/>
      <c r="C3" s="80"/>
      <c r="D3" s="19" t="s">
        <v>323</v>
      </c>
      <c r="E3" s="19" t="s">
        <v>3</v>
      </c>
      <c r="F3" s="94" t="s">
        <v>323</v>
      </c>
      <c r="G3" s="50" t="s">
        <v>3</v>
      </c>
      <c r="H3" s="94" t="s">
        <v>323</v>
      </c>
      <c r="I3" s="19" t="s">
        <v>3</v>
      </c>
      <c r="J3" s="102" t="s">
        <v>323</v>
      </c>
      <c r="K3" s="22" t="s">
        <v>3</v>
      </c>
    </row>
    <row r="4" spans="1:11" s="5" customFormat="1" ht="14.25" customHeight="1" x14ac:dyDescent="0.2">
      <c r="A4" s="27" t="s">
        <v>349</v>
      </c>
      <c r="B4" s="93" t="s">
        <v>108</v>
      </c>
      <c r="C4" s="62"/>
      <c r="D4" s="63">
        <f>'Ward Selection'!D88</f>
        <v>53012456</v>
      </c>
      <c r="E4" s="146">
        <f>'Ward Selection'!E88</f>
        <v>100</v>
      </c>
      <c r="F4" s="63">
        <f>'Ward Selection'!F88</f>
        <v>5283733</v>
      </c>
      <c r="G4" s="146">
        <f>'Ward Selection'!G88</f>
        <v>100</v>
      </c>
      <c r="H4" s="63">
        <f>'Ward Selection'!H88</f>
        <v>231221</v>
      </c>
      <c r="I4" s="146">
        <f>'Ward Selection'!I88</f>
        <v>100</v>
      </c>
      <c r="J4" s="63">
        <f>'Ward Selection'!J88</f>
        <v>11322</v>
      </c>
      <c r="K4" s="146">
        <f>'Ward Selection'!K88</f>
        <v>100</v>
      </c>
    </row>
    <row r="5" spans="1:11" s="5" customFormat="1" x14ac:dyDescent="0.2">
      <c r="A5" s="28" t="s">
        <v>354</v>
      </c>
      <c r="B5" s="91" t="s">
        <v>109</v>
      </c>
      <c r="C5" s="66"/>
      <c r="D5" s="67">
        <f>'Ward Selection'!D89</f>
        <v>4405394</v>
      </c>
      <c r="E5" s="147">
        <f>'Ward Selection'!E89</f>
        <v>8.3000000000000007</v>
      </c>
      <c r="F5" s="67">
        <f>'Ward Selection'!F89</f>
        <v>478358</v>
      </c>
      <c r="G5" s="147">
        <f>'Ward Selection'!G89</f>
        <v>9.1</v>
      </c>
      <c r="H5" s="67">
        <f>'Ward Selection'!H89</f>
        <v>29147</v>
      </c>
      <c r="I5" s="147">
        <f>'Ward Selection'!I89</f>
        <v>12.6</v>
      </c>
      <c r="J5" s="67">
        <f>'Ward Selection'!J89</f>
        <v>824</v>
      </c>
      <c r="K5" s="147">
        <f>'Ward Selection'!K89</f>
        <v>7.3</v>
      </c>
    </row>
    <row r="6" spans="1:11" s="5" customFormat="1" x14ac:dyDescent="0.2">
      <c r="A6" s="28" t="s">
        <v>355</v>
      </c>
      <c r="B6" s="91" t="s">
        <v>110</v>
      </c>
      <c r="C6" s="66"/>
      <c r="D6" s="67">
        <f>'Ward Selection'!D90</f>
        <v>4947192</v>
      </c>
      <c r="E6" s="147">
        <f>'Ward Selection'!E90</f>
        <v>9.3000000000000007</v>
      </c>
      <c r="F6" s="67">
        <f>'Ward Selection'!F90</f>
        <v>515291</v>
      </c>
      <c r="G6" s="147">
        <f>'Ward Selection'!G90</f>
        <v>9.8000000000000007</v>
      </c>
      <c r="H6" s="67">
        <f>'Ward Selection'!H90</f>
        <v>26121</v>
      </c>
      <c r="I6" s="147">
        <f>'Ward Selection'!I90</f>
        <v>11.3</v>
      </c>
      <c r="J6" s="67">
        <f>'Ward Selection'!J90</f>
        <v>1142</v>
      </c>
      <c r="K6" s="147">
        <f>'Ward Selection'!K90</f>
        <v>10.1</v>
      </c>
    </row>
    <row r="7" spans="1:11" s="5" customFormat="1" x14ac:dyDescent="0.2">
      <c r="A7" s="28"/>
      <c r="B7" s="91" t="s">
        <v>111</v>
      </c>
      <c r="C7" s="66"/>
      <c r="D7" s="67">
        <f>'Ward Selection'!D91</f>
        <v>43659870</v>
      </c>
      <c r="E7" s="147">
        <f>'Ward Selection'!E91</f>
        <v>82.4</v>
      </c>
      <c r="F7" s="67">
        <f>'Ward Selection'!F91</f>
        <v>4290084</v>
      </c>
      <c r="G7" s="147">
        <f>'Ward Selection'!G91</f>
        <v>81.2</v>
      </c>
      <c r="H7" s="67">
        <f>'Ward Selection'!H91</f>
        <v>175953</v>
      </c>
      <c r="I7" s="147">
        <f>'Ward Selection'!I91</f>
        <v>76.099999999999994</v>
      </c>
      <c r="J7" s="67">
        <f>'Ward Selection'!J91</f>
        <v>9356</v>
      </c>
      <c r="K7" s="147">
        <f>'Ward Selection'!K91</f>
        <v>82.6</v>
      </c>
    </row>
    <row r="8" spans="1:11" s="5" customFormat="1" ht="25.5" x14ac:dyDescent="0.2">
      <c r="A8" s="28"/>
      <c r="B8" s="91" t="s">
        <v>112</v>
      </c>
      <c r="C8" s="66"/>
      <c r="D8" s="67">
        <f>'Ward Selection'!D92</f>
        <v>1924080</v>
      </c>
      <c r="E8" s="147">
        <f>'Ward Selection'!E92</f>
        <v>3.6</v>
      </c>
      <c r="F8" s="67">
        <f>'Ward Selection'!F92</f>
        <v>211198</v>
      </c>
      <c r="G8" s="147">
        <f>'Ward Selection'!G92</f>
        <v>4</v>
      </c>
      <c r="H8" s="67">
        <f>'Ward Selection'!H92</f>
        <v>13748</v>
      </c>
      <c r="I8" s="147">
        <f>'Ward Selection'!I92</f>
        <v>5.9</v>
      </c>
      <c r="J8" s="67">
        <f>'Ward Selection'!J92</f>
        <v>355</v>
      </c>
      <c r="K8" s="147">
        <f>'Ward Selection'!K92</f>
        <v>3.1</v>
      </c>
    </row>
    <row r="9" spans="1:11" s="5" customFormat="1" ht="25.5" x14ac:dyDescent="0.2">
      <c r="A9" s="28"/>
      <c r="B9" s="91" t="s">
        <v>113</v>
      </c>
      <c r="C9" s="66"/>
      <c r="D9" s="67">
        <f>'Ward Selection'!D93</f>
        <v>2452742</v>
      </c>
      <c r="E9" s="147">
        <f>'Ward Selection'!E93</f>
        <v>4.5999999999999996</v>
      </c>
      <c r="F9" s="67">
        <f>'Ward Selection'!F93</f>
        <v>257601</v>
      </c>
      <c r="G9" s="147">
        <f>'Ward Selection'!G93</f>
        <v>4.9000000000000004</v>
      </c>
      <c r="H9" s="67">
        <f>'Ward Selection'!H93</f>
        <v>13853</v>
      </c>
      <c r="I9" s="147">
        <f>'Ward Selection'!I93</f>
        <v>6</v>
      </c>
      <c r="J9" s="67">
        <f>'Ward Selection'!J93</f>
        <v>541</v>
      </c>
      <c r="K9" s="147">
        <f>'Ward Selection'!K93</f>
        <v>4.8</v>
      </c>
    </row>
    <row r="10" spans="1:11" s="5" customFormat="1" ht="25.5" x14ac:dyDescent="0.2">
      <c r="A10" s="28"/>
      <c r="B10" s="91" t="s">
        <v>114</v>
      </c>
      <c r="C10" s="66"/>
      <c r="D10" s="67">
        <f>'Ward Selection'!D94</f>
        <v>29952269</v>
      </c>
      <c r="E10" s="147">
        <f>'Ward Selection'!E94</f>
        <v>56.5</v>
      </c>
      <c r="F10" s="67">
        <f>'Ward Selection'!F94</f>
        <v>2942571</v>
      </c>
      <c r="G10" s="147">
        <f>'Ward Selection'!G94</f>
        <v>55.7</v>
      </c>
      <c r="H10" s="67">
        <f>'Ward Selection'!H94</f>
        <v>120724</v>
      </c>
      <c r="I10" s="147">
        <f>'Ward Selection'!I94</f>
        <v>52.2</v>
      </c>
      <c r="J10" s="67">
        <f>'Ward Selection'!J94</f>
        <v>6487</v>
      </c>
      <c r="K10" s="147">
        <f>'Ward Selection'!K94</f>
        <v>57.3</v>
      </c>
    </row>
    <row r="11" spans="1:11" s="5" customFormat="1" x14ac:dyDescent="0.2">
      <c r="A11" s="28"/>
      <c r="B11" s="91" t="s">
        <v>115</v>
      </c>
      <c r="C11" s="66"/>
      <c r="D11" s="67">
        <f>'Ward Selection'!D95</f>
        <v>25005712</v>
      </c>
      <c r="E11" s="147">
        <f>'Ward Selection'!E95</f>
        <v>47.2</v>
      </c>
      <c r="F11" s="67">
        <f>'Ward Selection'!F95</f>
        <v>2407907</v>
      </c>
      <c r="G11" s="147">
        <f>'Ward Selection'!G95</f>
        <v>45.6</v>
      </c>
      <c r="H11" s="67">
        <f>'Ward Selection'!H95</f>
        <v>96194</v>
      </c>
      <c r="I11" s="147">
        <f>'Ward Selection'!I95</f>
        <v>41.6</v>
      </c>
      <c r="J11" s="67">
        <f>'Ward Selection'!J95</f>
        <v>5432</v>
      </c>
      <c r="K11" s="147">
        <f>'Ward Selection'!K95</f>
        <v>48</v>
      </c>
    </row>
    <row r="12" spans="1:11" s="5" customFormat="1" x14ac:dyDescent="0.2">
      <c r="A12" s="28"/>
      <c r="B12" s="91" t="s">
        <v>116</v>
      </c>
      <c r="C12" s="66"/>
      <c r="D12" s="67">
        <f>'Ward Selection'!D96</f>
        <v>18141457</v>
      </c>
      <c r="E12" s="147">
        <f>'Ward Selection'!E96</f>
        <v>34.200000000000003</v>
      </c>
      <c r="F12" s="67">
        <f>'Ward Selection'!F96</f>
        <v>1817231</v>
      </c>
      <c r="G12" s="147">
        <f>'Ward Selection'!G96</f>
        <v>34.4</v>
      </c>
      <c r="H12" s="67">
        <f>'Ward Selection'!H96</f>
        <v>77649</v>
      </c>
      <c r="I12" s="147">
        <f>'Ward Selection'!I96</f>
        <v>33.6</v>
      </c>
      <c r="J12" s="67">
        <f>'Ward Selection'!J96</f>
        <v>3819</v>
      </c>
      <c r="K12" s="147">
        <f>'Ward Selection'!K96</f>
        <v>33.700000000000003</v>
      </c>
    </row>
    <row r="13" spans="1:11" s="5" customFormat="1" x14ac:dyDescent="0.2">
      <c r="A13" s="28"/>
      <c r="B13" s="91" t="s">
        <v>117</v>
      </c>
      <c r="C13" s="66"/>
      <c r="D13" s="67">
        <f>'Ward Selection'!D97</f>
        <v>6954092</v>
      </c>
      <c r="E13" s="147">
        <f>'Ward Selection'!E97</f>
        <v>13.1</v>
      </c>
      <c r="F13" s="67">
        <f>'Ward Selection'!F97</f>
        <v>739959</v>
      </c>
      <c r="G13" s="147">
        <f>'Ward Selection'!G97</f>
        <v>14</v>
      </c>
      <c r="H13" s="67">
        <f>'Ward Selection'!H97</f>
        <v>37956</v>
      </c>
      <c r="I13" s="147">
        <f>'Ward Selection'!I97</f>
        <v>16.399999999999999</v>
      </c>
      <c r="J13" s="67">
        <f>'Ward Selection'!J97</f>
        <v>1516</v>
      </c>
      <c r="K13" s="147">
        <f>'Ward Selection'!K97</f>
        <v>13.4</v>
      </c>
    </row>
    <row r="14" spans="1:11" s="5" customFormat="1" x14ac:dyDescent="0.2">
      <c r="A14" s="28"/>
      <c r="B14" s="91" t="s">
        <v>118</v>
      </c>
      <c r="C14" s="66"/>
      <c r="D14" s="67">
        <f>'Ward Selection'!D98</f>
        <v>2250446</v>
      </c>
      <c r="E14" s="147">
        <f>'Ward Selection'!E98</f>
        <v>4.2</v>
      </c>
      <c r="F14" s="67">
        <f>'Ward Selection'!F98</f>
        <v>247942</v>
      </c>
      <c r="G14" s="147">
        <f>'Ward Selection'!G98</f>
        <v>4.7</v>
      </c>
      <c r="H14" s="67">
        <f>'Ward Selection'!H98</f>
        <v>15278</v>
      </c>
      <c r="I14" s="147">
        <f>'Ward Selection'!I98</f>
        <v>6.6</v>
      </c>
      <c r="J14" s="67">
        <f>'Ward Selection'!J98</f>
        <v>429</v>
      </c>
      <c r="K14" s="147">
        <f>'Ward Selection'!K98</f>
        <v>3.8</v>
      </c>
    </row>
    <row r="15" spans="1:11" s="5" customFormat="1" x14ac:dyDescent="0.2">
      <c r="A15" s="28"/>
      <c r="B15" s="91" t="s">
        <v>119</v>
      </c>
      <c r="C15" s="66"/>
      <c r="D15" s="67">
        <f>'Ward Selection'!D99</f>
        <v>660749</v>
      </c>
      <c r="E15" s="147">
        <f>'Ward Selection'!E99</f>
        <v>1.2</v>
      </c>
      <c r="F15" s="67">
        <f>'Ward Selection'!F99</f>
        <v>70694</v>
      </c>
      <c r="G15" s="147">
        <f>'Ward Selection'!G99</f>
        <v>1.3</v>
      </c>
      <c r="H15" s="67">
        <f>'Ward Selection'!H99</f>
        <v>4144</v>
      </c>
      <c r="I15" s="147">
        <f>'Ward Selection'!I99</f>
        <v>1.8</v>
      </c>
      <c r="J15" s="67">
        <f>'Ward Selection'!J99</f>
        <v>126</v>
      </c>
      <c r="K15" s="147">
        <f>'Ward Selection'!K99</f>
        <v>1.1000000000000001</v>
      </c>
    </row>
    <row r="16" spans="1:11" s="5" customFormat="1" x14ac:dyDescent="0.2">
      <c r="A16" s="28"/>
      <c r="B16" s="91" t="s">
        <v>120</v>
      </c>
      <c r="C16" s="66"/>
      <c r="D16" s="67">
        <f>'Ward Selection'!D100</f>
        <v>47582440</v>
      </c>
      <c r="E16" s="147">
        <f>'Ward Selection'!E100</f>
        <v>89.8</v>
      </c>
      <c r="F16" s="67">
        <f>'Ward Selection'!F100</f>
        <v>4732392</v>
      </c>
      <c r="G16" s="147">
        <f>'Ward Selection'!G100</f>
        <v>89.6</v>
      </c>
      <c r="H16" s="67">
        <f>'Ward Selection'!H100</f>
        <v>204054</v>
      </c>
      <c r="I16" s="147">
        <f>'Ward Selection'!I100</f>
        <v>88.3</v>
      </c>
      <c r="J16" s="67">
        <f>'Ward Selection'!J100</f>
        <v>10022</v>
      </c>
      <c r="K16" s="147">
        <f>'Ward Selection'!K100</f>
        <v>88.5</v>
      </c>
    </row>
    <row r="17" spans="1:11" s="5" customFormat="1" x14ac:dyDescent="0.2">
      <c r="A17" s="28"/>
      <c r="B17" s="91" t="s">
        <v>121</v>
      </c>
      <c r="C17" s="66"/>
      <c r="D17" s="67">
        <f>'Ward Selection'!D101</f>
        <v>3452636</v>
      </c>
      <c r="E17" s="147">
        <f>'Ward Selection'!E101</f>
        <v>6.5</v>
      </c>
      <c r="F17" s="67">
        <f>'Ward Selection'!F101</f>
        <v>341658</v>
      </c>
      <c r="G17" s="147">
        <f>'Ward Selection'!G101</f>
        <v>6.5</v>
      </c>
      <c r="H17" s="67">
        <f>'Ward Selection'!H101</f>
        <v>15473</v>
      </c>
      <c r="I17" s="147">
        <f>'Ward Selection'!I101</f>
        <v>6.7</v>
      </c>
      <c r="J17" s="67">
        <f>'Ward Selection'!J101</f>
        <v>916</v>
      </c>
      <c r="K17" s="147">
        <f>'Ward Selection'!K101</f>
        <v>8.1</v>
      </c>
    </row>
    <row r="18" spans="1:11" s="5" customFormat="1" x14ac:dyDescent="0.2">
      <c r="A18" s="28"/>
      <c r="B18" s="91" t="s">
        <v>122</v>
      </c>
      <c r="C18" s="66"/>
      <c r="D18" s="67">
        <f>'Ward Selection'!D102</f>
        <v>721143</v>
      </c>
      <c r="E18" s="147">
        <f>'Ward Selection'!E102</f>
        <v>1.4</v>
      </c>
      <c r="F18" s="67">
        <f>'Ward Selection'!F102</f>
        <v>74574</v>
      </c>
      <c r="G18" s="147">
        <f>'Ward Selection'!G102</f>
        <v>1.4</v>
      </c>
      <c r="H18" s="67">
        <f>'Ward Selection'!H102</f>
        <v>4075</v>
      </c>
      <c r="I18" s="147">
        <f>'Ward Selection'!I102</f>
        <v>1.8</v>
      </c>
      <c r="J18" s="67">
        <f>'Ward Selection'!J102</f>
        <v>126</v>
      </c>
      <c r="K18" s="147">
        <f>'Ward Selection'!K102</f>
        <v>1.1000000000000001</v>
      </c>
    </row>
    <row r="19" spans="1:11" s="5" customFormat="1" ht="25.5" x14ac:dyDescent="0.2">
      <c r="A19" s="29"/>
      <c r="B19" s="92" t="s">
        <v>123</v>
      </c>
      <c r="C19" s="70"/>
      <c r="D19" s="71">
        <f>'Ward Selection'!D103</f>
        <v>1256237</v>
      </c>
      <c r="E19" s="148">
        <f>'Ward Selection'!E103</f>
        <v>2.4</v>
      </c>
      <c r="F19" s="71">
        <f>'Ward Selection'!F103</f>
        <v>135109</v>
      </c>
      <c r="G19" s="148">
        <f>'Ward Selection'!G103</f>
        <v>2.6</v>
      </c>
      <c r="H19" s="71">
        <f>'Ward Selection'!H103</f>
        <v>7619</v>
      </c>
      <c r="I19" s="148">
        <f>'Ward Selection'!I103</f>
        <v>3.3</v>
      </c>
      <c r="J19" s="71">
        <f>'Ward Selection'!J103</f>
        <v>258</v>
      </c>
      <c r="K19" s="148">
        <f>'Ward Selection'!K103</f>
        <v>2.2999999999999998</v>
      </c>
    </row>
    <row r="20" spans="1:11" s="5" customFormat="1" x14ac:dyDescent="0.2">
      <c r="A20" s="26"/>
      <c r="G20" s="48"/>
      <c r="J20" s="55"/>
      <c r="K20" s="21"/>
    </row>
    <row r="21" spans="1:11" s="5" customFormat="1" x14ac:dyDescent="0.2">
      <c r="A21" s="26" t="s">
        <v>430</v>
      </c>
      <c r="B21" s="207" t="s">
        <v>418</v>
      </c>
      <c r="C21" s="205"/>
      <c r="D21" s="205"/>
      <c r="E21" s="205"/>
      <c r="F21" s="205"/>
      <c r="G21" s="205"/>
      <c r="H21" s="205"/>
      <c r="I21" s="205"/>
      <c r="J21" s="205"/>
      <c r="K21" s="206"/>
    </row>
    <row r="22" spans="1:11" s="5" customFormat="1" ht="27.75" customHeight="1" x14ac:dyDescent="0.2">
      <c r="A22" s="26"/>
      <c r="B22" s="204" t="s">
        <v>419</v>
      </c>
      <c r="C22" s="205"/>
      <c r="D22" s="205"/>
      <c r="E22" s="205"/>
      <c r="F22" s="205"/>
      <c r="G22" s="205"/>
      <c r="H22" s="205"/>
      <c r="I22" s="205"/>
      <c r="J22" s="205"/>
      <c r="K22" s="206"/>
    </row>
    <row r="23" spans="1:11" s="5" customFormat="1" x14ac:dyDescent="0.2">
      <c r="A23" s="26"/>
      <c r="B23" s="141"/>
      <c r="G23" s="48"/>
      <c r="J23" s="55"/>
      <c r="K23" s="21"/>
    </row>
    <row r="24" spans="1:11" s="5" customFormat="1" ht="19.5" customHeight="1" x14ac:dyDescent="0.2">
      <c r="A24" s="26"/>
      <c r="B24" s="143" t="s">
        <v>420</v>
      </c>
      <c r="G24" s="48"/>
      <c r="J24" s="55"/>
      <c r="K24" s="21"/>
    </row>
    <row r="25" spans="1:11" s="5" customFormat="1" ht="25.5" customHeight="1" x14ac:dyDescent="0.2">
      <c r="A25" s="26"/>
      <c r="B25" s="204" t="s">
        <v>421</v>
      </c>
      <c r="C25" s="205"/>
      <c r="D25" s="205"/>
      <c r="E25" s="205"/>
      <c r="F25" s="205"/>
      <c r="G25" s="205"/>
      <c r="H25" s="205"/>
      <c r="I25" s="205"/>
      <c r="J25" s="205"/>
      <c r="K25" s="206"/>
    </row>
    <row r="26" spans="1:11" s="5" customFormat="1" x14ac:dyDescent="0.2">
      <c r="A26" s="26"/>
      <c r="B26" s="142"/>
      <c r="G26" s="48"/>
      <c r="J26" s="55"/>
      <c r="K26" s="21"/>
    </row>
    <row r="27" spans="1:11" s="5" customFormat="1" x14ac:dyDescent="0.2">
      <c r="A27" s="26"/>
      <c r="B27" s="143" t="s">
        <v>422</v>
      </c>
      <c r="G27" s="48"/>
      <c r="J27" s="55"/>
      <c r="K27" s="21"/>
    </row>
    <row r="28" spans="1:11" s="5" customFormat="1" ht="102" customHeight="1" x14ac:dyDescent="0.2">
      <c r="A28" s="26"/>
      <c r="B28" s="202" t="s">
        <v>423</v>
      </c>
      <c r="C28" s="202"/>
      <c r="D28" s="202"/>
      <c r="E28" s="202"/>
      <c r="F28" s="202"/>
      <c r="G28" s="208"/>
      <c r="H28" s="202"/>
      <c r="I28" s="202"/>
      <c r="J28" s="209"/>
      <c r="K28" s="210"/>
    </row>
    <row r="29" spans="1:11" s="5" customFormat="1" hidden="1" x14ac:dyDescent="0.2">
      <c r="A29" s="26"/>
      <c r="B29" s="141"/>
      <c r="G29" s="48"/>
      <c r="J29" s="55"/>
      <c r="K29" s="21"/>
    </row>
  </sheetData>
  <mergeCells count="7">
    <mergeCell ref="A1:B1"/>
    <mergeCell ref="D1:K1"/>
    <mergeCell ref="J2:K2"/>
    <mergeCell ref="B25:K25"/>
    <mergeCell ref="B28:K28"/>
    <mergeCell ref="B21:K21"/>
    <mergeCell ref="B22:K22"/>
  </mergeCells>
  <phoneticPr fontId="15" type="noConversion"/>
  <printOptions horizontalCentered="1"/>
  <pageMargins left="0.70866141732283472" right="0.70866141732283472" top="0.74803149606299213" bottom="0.74803149606299213" header="0.31496062992125984" footer="0.31496062992125984"/>
  <pageSetup paperSize="9" orientation="landscape" r:id="rId1"/>
  <rowBreaks count="1" manualBreakCount="1">
    <brk id="2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3"/>
  <sheetViews>
    <sheetView workbookViewId="0">
      <selection activeCell="A123" sqref="A123:IV65536"/>
    </sheetView>
  </sheetViews>
  <sheetFormatPr defaultColWidth="0" defaultRowHeight="12.75" zeroHeight="1" x14ac:dyDescent="0.2"/>
  <cols>
    <col min="1" max="1" width="15.85546875" customWidth="1"/>
    <col min="2" max="2" width="39.7109375" customWidth="1"/>
    <col min="3" max="3" width="0" hidden="1" customWidth="1"/>
    <col min="4" max="4" width="10.140625" bestFit="1" customWidth="1"/>
    <col min="5" max="5" width="7.42578125" customWidth="1"/>
    <col min="6" max="6" width="9.140625" customWidth="1"/>
    <col min="7" max="7" width="7" customWidth="1"/>
    <col min="8" max="10" width="9.140625" customWidth="1"/>
    <col min="11" max="11" width="8.42578125" customWidth="1"/>
  </cols>
  <sheetData>
    <row r="1" spans="1:11" s="25" customFormat="1" ht="18" x14ac:dyDescent="0.25">
      <c r="A1" s="214" t="s">
        <v>319</v>
      </c>
      <c r="B1" s="215"/>
      <c r="C1" s="78"/>
      <c r="D1" s="200" t="s">
        <v>320</v>
      </c>
      <c r="E1" s="201"/>
      <c r="F1" s="201"/>
      <c r="G1" s="201"/>
      <c r="H1" s="201"/>
      <c r="I1" s="201"/>
      <c r="J1" s="201"/>
      <c r="K1" s="201"/>
    </row>
    <row r="2" spans="1:11" s="36" customFormat="1" ht="25.5" x14ac:dyDescent="0.2">
      <c r="A2" s="33"/>
      <c r="B2" s="33"/>
      <c r="C2" s="79"/>
      <c r="D2" s="33" t="s">
        <v>58</v>
      </c>
      <c r="E2" s="34"/>
      <c r="F2" s="79" t="s">
        <v>321</v>
      </c>
      <c r="G2" s="49"/>
      <c r="H2" s="98" t="s">
        <v>322</v>
      </c>
      <c r="I2" s="34"/>
      <c r="J2" s="212" t="str">
        <f>'Ward Selection'!J4</f>
        <v>Penistone West Ward</v>
      </c>
      <c r="K2" s="213"/>
    </row>
    <row r="3" spans="1:11" s="5" customFormat="1" x14ac:dyDescent="0.2">
      <c r="A3" s="51"/>
      <c r="B3" s="52"/>
      <c r="C3" s="80"/>
      <c r="D3" s="19" t="s">
        <v>323</v>
      </c>
      <c r="E3" s="19" t="s">
        <v>3</v>
      </c>
      <c r="F3" s="94" t="s">
        <v>323</v>
      </c>
      <c r="G3" s="50" t="s">
        <v>3</v>
      </c>
      <c r="H3" s="94" t="s">
        <v>323</v>
      </c>
      <c r="I3" s="19" t="s">
        <v>3</v>
      </c>
      <c r="J3" s="102" t="s">
        <v>323</v>
      </c>
      <c r="K3" s="22" t="s">
        <v>3</v>
      </c>
    </row>
    <row r="4" spans="1:11" s="5" customFormat="1" ht="25.5" x14ac:dyDescent="0.2">
      <c r="A4" s="27" t="s">
        <v>241</v>
      </c>
      <c r="B4" s="93" t="s">
        <v>226</v>
      </c>
      <c r="C4" s="62"/>
      <c r="D4" s="67">
        <f>'Ward Selection'!D105</f>
        <v>42989620</v>
      </c>
      <c r="E4" s="146">
        <f>'Ward Selection'!E105</f>
        <v>100</v>
      </c>
      <c r="F4" s="67">
        <f>'Ward Selection'!F105</f>
        <v>4285941</v>
      </c>
      <c r="G4" s="146">
        <f>'Ward Selection'!G105</f>
        <v>100</v>
      </c>
      <c r="H4" s="67">
        <f>'Ward Selection'!H105</f>
        <v>188335</v>
      </c>
      <c r="I4" s="146">
        <f>'Ward Selection'!I105</f>
        <v>100</v>
      </c>
      <c r="J4" s="67">
        <f>'Ward Selection'!J105</f>
        <v>9280</v>
      </c>
      <c r="K4" s="146">
        <f>'Ward Selection'!K105</f>
        <v>100</v>
      </c>
    </row>
    <row r="5" spans="1:11" s="37" customFormat="1" x14ac:dyDescent="0.2">
      <c r="A5" s="28"/>
      <c r="B5" s="91" t="s">
        <v>227</v>
      </c>
      <c r="C5" s="66"/>
      <c r="D5" s="67">
        <f>'Ward Selection'!D106</f>
        <v>9656810</v>
      </c>
      <c r="E5" s="147">
        <f>'Ward Selection'!E106</f>
        <v>22.5</v>
      </c>
      <c r="F5" s="67">
        <f>'Ward Selection'!F106</f>
        <v>1104692</v>
      </c>
      <c r="G5" s="147">
        <f>'Ward Selection'!G106</f>
        <v>25.8</v>
      </c>
      <c r="H5" s="67">
        <f>'Ward Selection'!H106</f>
        <v>60890</v>
      </c>
      <c r="I5" s="147">
        <f>'Ward Selection'!I106</f>
        <v>32.299999999999997</v>
      </c>
      <c r="J5" s="67">
        <f>'Ward Selection'!J106</f>
        <v>2106</v>
      </c>
      <c r="K5" s="147">
        <f>'Ward Selection'!K106</f>
        <v>22.7</v>
      </c>
    </row>
    <row r="6" spans="1:11" s="37" customFormat="1" ht="25.5" x14ac:dyDescent="0.2">
      <c r="A6" s="28"/>
      <c r="B6" s="91" t="s">
        <v>228</v>
      </c>
      <c r="C6" s="66"/>
      <c r="D6" s="67">
        <f>'Ward Selection'!D107</f>
        <v>5714441</v>
      </c>
      <c r="E6" s="147">
        <f>'Ward Selection'!E107</f>
        <v>13.3</v>
      </c>
      <c r="F6" s="67">
        <f>'Ward Selection'!F107</f>
        <v>581029</v>
      </c>
      <c r="G6" s="147">
        <f>'Ward Selection'!G107</f>
        <v>13.6</v>
      </c>
      <c r="H6" s="67">
        <f>'Ward Selection'!H107</f>
        <v>26913</v>
      </c>
      <c r="I6" s="147">
        <f>'Ward Selection'!I107</f>
        <v>14.3</v>
      </c>
      <c r="J6" s="67">
        <f>'Ward Selection'!J107</f>
        <v>1103</v>
      </c>
      <c r="K6" s="147">
        <f>'Ward Selection'!K107</f>
        <v>11.9</v>
      </c>
    </row>
    <row r="7" spans="1:11" s="37" customFormat="1" ht="25.5" x14ac:dyDescent="0.2">
      <c r="A7" s="28"/>
      <c r="B7" s="91" t="s">
        <v>229</v>
      </c>
      <c r="C7" s="66"/>
      <c r="D7" s="67">
        <f>'Ward Selection'!D108</f>
        <v>6544614</v>
      </c>
      <c r="E7" s="147">
        <f>'Ward Selection'!E108</f>
        <v>15.2</v>
      </c>
      <c r="F7" s="67">
        <f>'Ward Selection'!F108</f>
        <v>662318</v>
      </c>
      <c r="G7" s="147">
        <f>'Ward Selection'!G108</f>
        <v>15.5</v>
      </c>
      <c r="H7" s="67">
        <f>'Ward Selection'!H108</f>
        <v>30550</v>
      </c>
      <c r="I7" s="147">
        <f>'Ward Selection'!I108</f>
        <v>16.2</v>
      </c>
      <c r="J7" s="67">
        <f>'Ward Selection'!J108</f>
        <v>1472</v>
      </c>
      <c r="K7" s="147">
        <f>'Ward Selection'!K108</f>
        <v>15.9</v>
      </c>
    </row>
    <row r="8" spans="1:11" s="37" customFormat="1" x14ac:dyDescent="0.2">
      <c r="A8" s="28"/>
      <c r="B8" s="91" t="s">
        <v>230</v>
      </c>
      <c r="C8" s="66"/>
      <c r="D8" s="67">
        <f>'Ward Selection'!D109</f>
        <v>1532934</v>
      </c>
      <c r="E8" s="147">
        <f>'Ward Selection'!E109</f>
        <v>3.6</v>
      </c>
      <c r="F8" s="67">
        <f>'Ward Selection'!F109</f>
        <v>181690</v>
      </c>
      <c r="G8" s="147">
        <f>'Ward Selection'!G109</f>
        <v>4.2</v>
      </c>
      <c r="H8" s="67">
        <f>'Ward Selection'!H109</f>
        <v>7716</v>
      </c>
      <c r="I8" s="147">
        <f>'Ward Selection'!I109</f>
        <v>4.0999999999999996</v>
      </c>
      <c r="J8" s="67">
        <f>'Ward Selection'!J109</f>
        <v>438</v>
      </c>
      <c r="K8" s="147">
        <f>'Ward Selection'!K109</f>
        <v>4.7</v>
      </c>
    </row>
    <row r="9" spans="1:11" s="37" customFormat="1" ht="25.5" x14ac:dyDescent="0.2">
      <c r="A9" s="28"/>
      <c r="B9" s="91" t="s">
        <v>231</v>
      </c>
      <c r="C9" s="66"/>
      <c r="D9" s="67">
        <f>'Ward Selection'!D110</f>
        <v>5309631</v>
      </c>
      <c r="E9" s="147">
        <f>'Ward Selection'!E110</f>
        <v>12.4</v>
      </c>
      <c r="F9" s="67">
        <f>'Ward Selection'!F110</f>
        <v>547480</v>
      </c>
      <c r="G9" s="147">
        <f>'Ward Selection'!G110</f>
        <v>12.8</v>
      </c>
      <c r="H9" s="67">
        <f>'Ward Selection'!H110</f>
        <v>21342</v>
      </c>
      <c r="I9" s="147">
        <f>'Ward Selection'!I110</f>
        <v>11.3</v>
      </c>
      <c r="J9" s="67">
        <f>'Ward Selection'!J110</f>
        <v>1121</v>
      </c>
      <c r="K9" s="147">
        <f>'Ward Selection'!K110</f>
        <v>12.1</v>
      </c>
    </row>
    <row r="10" spans="1:11" s="37" customFormat="1" ht="25.5" x14ac:dyDescent="0.2">
      <c r="A10" s="28"/>
      <c r="B10" s="91" t="s">
        <v>232</v>
      </c>
      <c r="C10" s="66"/>
      <c r="D10" s="67">
        <f>'Ward Selection'!D111</f>
        <v>11769361</v>
      </c>
      <c r="E10" s="147">
        <f>'Ward Selection'!E111</f>
        <v>27.4</v>
      </c>
      <c r="F10" s="67">
        <f>'Ward Selection'!F111</f>
        <v>998718</v>
      </c>
      <c r="G10" s="147">
        <f>'Ward Selection'!G111</f>
        <v>23.3</v>
      </c>
      <c r="H10" s="67">
        <f>'Ward Selection'!H111</f>
        <v>32724</v>
      </c>
      <c r="I10" s="147">
        <f>'Ward Selection'!I111</f>
        <v>17.399999999999999</v>
      </c>
      <c r="J10" s="67">
        <f>'Ward Selection'!J111</f>
        <v>2741</v>
      </c>
      <c r="K10" s="147">
        <f>'Ward Selection'!K111</f>
        <v>29.5</v>
      </c>
    </row>
    <row r="11" spans="1:11" s="37" customFormat="1" ht="25.5" x14ac:dyDescent="0.2">
      <c r="A11" s="28"/>
      <c r="B11" s="91" t="s">
        <v>233</v>
      </c>
      <c r="C11" s="66"/>
      <c r="D11" s="67">
        <f>'Ward Selection'!D112</f>
        <v>2461829</v>
      </c>
      <c r="E11" s="147">
        <f>'Ward Selection'!E112</f>
        <v>5.7</v>
      </c>
      <c r="F11" s="67">
        <f>'Ward Selection'!F112</f>
        <v>210014</v>
      </c>
      <c r="G11" s="147">
        <f>'Ward Selection'!G112</f>
        <v>4.9000000000000004</v>
      </c>
      <c r="H11" s="67">
        <f>'Ward Selection'!H112</f>
        <v>8200</v>
      </c>
      <c r="I11" s="147">
        <f>'Ward Selection'!I112</f>
        <v>4.4000000000000004</v>
      </c>
      <c r="J11" s="67">
        <f>'Ward Selection'!J112</f>
        <v>299</v>
      </c>
      <c r="K11" s="147">
        <f>'Ward Selection'!K112</f>
        <v>3.2</v>
      </c>
    </row>
    <row r="12" spans="1:11" s="37" customFormat="1" ht="25.5" x14ac:dyDescent="0.2">
      <c r="A12" s="28"/>
      <c r="B12" s="91" t="s">
        <v>234</v>
      </c>
      <c r="C12" s="66"/>
      <c r="D12" s="67">
        <f>'Ward Selection'!D113</f>
        <v>1163148</v>
      </c>
      <c r="E12" s="147">
        <f>'Ward Selection'!E113</f>
        <v>2.7</v>
      </c>
      <c r="F12" s="67">
        <f>'Ward Selection'!F113</f>
        <v>113290</v>
      </c>
      <c r="G12" s="147">
        <f>'Ward Selection'!G113</f>
        <v>2.6</v>
      </c>
      <c r="H12" s="67">
        <f>'Ward Selection'!H113</f>
        <v>4905</v>
      </c>
      <c r="I12" s="147">
        <f>'Ward Selection'!I113</f>
        <v>2.6</v>
      </c>
      <c r="J12" s="67">
        <f>'Ward Selection'!J113</f>
        <v>252</v>
      </c>
      <c r="K12" s="147">
        <f>'Ward Selection'!K113</f>
        <v>2.7</v>
      </c>
    </row>
    <row r="13" spans="1:11" s="37" customFormat="1" ht="25.5" x14ac:dyDescent="0.2">
      <c r="A13" s="28"/>
      <c r="B13" s="91" t="s">
        <v>235</v>
      </c>
      <c r="C13" s="66"/>
      <c r="D13" s="67">
        <f>'Ward Selection'!D114</f>
        <v>2348197</v>
      </c>
      <c r="E13" s="147">
        <f>'Ward Selection'!E114</f>
        <v>5.5</v>
      </c>
      <c r="F13" s="67">
        <f>'Ward Selection'!F114</f>
        <v>245450</v>
      </c>
      <c r="G13" s="147">
        <f>'Ward Selection'!G114</f>
        <v>5.7</v>
      </c>
      <c r="H13" s="67">
        <f>'Ward Selection'!H114</f>
        <v>4942</v>
      </c>
      <c r="I13" s="147">
        <f>'Ward Selection'!I114</f>
        <v>2.6</v>
      </c>
      <c r="J13" s="67">
        <f>'Ward Selection'!J114</f>
        <v>223</v>
      </c>
      <c r="K13" s="147">
        <f>'Ward Selection'!K114</f>
        <v>2.4</v>
      </c>
    </row>
    <row r="14" spans="1:11" s="37" customFormat="1" ht="25.5" x14ac:dyDescent="0.2">
      <c r="A14" s="28"/>
      <c r="B14" s="91" t="s">
        <v>236</v>
      </c>
      <c r="C14" s="66"/>
      <c r="D14" s="67">
        <f>'Ward Selection'!D115</f>
        <v>791902</v>
      </c>
      <c r="E14" s="147">
        <f>'Ward Selection'!E115</f>
        <v>1.8</v>
      </c>
      <c r="F14" s="67">
        <f>'Ward Selection'!F115</f>
        <v>80433</v>
      </c>
      <c r="G14" s="147">
        <f>'Ward Selection'!G115</f>
        <v>1.9</v>
      </c>
      <c r="H14" s="67">
        <f>'Ward Selection'!H115</f>
        <v>1986</v>
      </c>
      <c r="I14" s="147">
        <f>'Ward Selection'!I115</f>
        <v>1.1000000000000001</v>
      </c>
      <c r="J14" s="67">
        <f>'Ward Selection'!J115</f>
        <v>108</v>
      </c>
      <c r="K14" s="147">
        <f>'Ward Selection'!K115</f>
        <v>1.2</v>
      </c>
    </row>
    <row r="15" spans="1:11" s="37" customFormat="1" ht="25.5" x14ac:dyDescent="0.2">
      <c r="A15" s="28"/>
      <c r="B15" s="91" t="s">
        <v>237</v>
      </c>
      <c r="C15" s="66"/>
      <c r="D15" s="67">
        <f>'Ward Selection'!D116</f>
        <v>208518</v>
      </c>
      <c r="E15" s="147">
        <f>'Ward Selection'!E116</f>
        <v>0.5</v>
      </c>
      <c r="F15" s="67">
        <f>'Ward Selection'!F116</f>
        <v>23267</v>
      </c>
      <c r="G15" s="147">
        <f>'Ward Selection'!G116</f>
        <v>0.5</v>
      </c>
      <c r="H15" s="67">
        <f>'Ward Selection'!H116</f>
        <v>462</v>
      </c>
      <c r="I15" s="147">
        <f>'Ward Selection'!I116</f>
        <v>0.2</v>
      </c>
      <c r="J15" s="67">
        <f>'Ward Selection'!J116</f>
        <v>15</v>
      </c>
      <c r="K15" s="147">
        <f>'Ward Selection'!K116</f>
        <v>0.2</v>
      </c>
    </row>
    <row r="16" spans="1:11" s="37" customFormat="1" ht="25.5" x14ac:dyDescent="0.2">
      <c r="A16" s="29"/>
      <c r="B16" s="92" t="s">
        <v>238</v>
      </c>
      <c r="C16" s="70"/>
      <c r="D16" s="71">
        <f>'Ward Selection'!D117</f>
        <v>1340731</v>
      </c>
      <c r="E16" s="148">
        <f>'Ward Selection'!E117</f>
        <v>3.1</v>
      </c>
      <c r="F16" s="71">
        <f>'Ward Selection'!F117</f>
        <v>141077</v>
      </c>
      <c r="G16" s="148">
        <f>'Ward Selection'!G117</f>
        <v>3.3</v>
      </c>
      <c r="H16" s="71">
        <f>'Ward Selection'!H117</f>
        <v>2458</v>
      </c>
      <c r="I16" s="148">
        <f>'Ward Selection'!I117</f>
        <v>1.3</v>
      </c>
      <c r="J16" s="71">
        <f>'Ward Selection'!J117</f>
        <v>98</v>
      </c>
      <c r="K16" s="148">
        <f>'Ward Selection'!K117</f>
        <v>1.1000000000000001</v>
      </c>
    </row>
    <row r="17" spans="1:11" s="5" customFormat="1" x14ac:dyDescent="0.2">
      <c r="A17" s="180"/>
      <c r="B17" s="92"/>
      <c r="C17" s="70"/>
      <c r="D17" s="71"/>
      <c r="E17" s="97"/>
      <c r="F17" s="71"/>
      <c r="G17" s="101"/>
      <c r="H17" s="72"/>
      <c r="I17" s="97"/>
      <c r="J17" s="76"/>
      <c r="K17" s="73"/>
    </row>
    <row r="18" spans="1:11" s="5" customFormat="1" ht="18" customHeight="1" x14ac:dyDescent="0.2">
      <c r="A18" s="27" t="s">
        <v>431</v>
      </c>
      <c r="B18" s="93" t="s">
        <v>84</v>
      </c>
      <c r="C18" s="62"/>
      <c r="D18" s="156">
        <f>'Ward Selection'!D208</f>
        <v>38881374</v>
      </c>
      <c r="E18" s="63">
        <f>'Ward Selection'!E208</f>
        <v>100</v>
      </c>
      <c r="F18" s="156">
        <f>'Ward Selection'!F208</f>
        <v>3875219</v>
      </c>
      <c r="G18" s="63">
        <f>'Ward Selection'!G208</f>
        <v>100</v>
      </c>
      <c r="H18" s="156">
        <f>'Ward Selection'!H208</f>
        <v>170405</v>
      </c>
      <c r="I18" s="63">
        <f>'Ward Selection'!I208</f>
        <v>100</v>
      </c>
      <c r="J18" s="156">
        <f>'Ward Selection'!J208</f>
        <v>8422</v>
      </c>
      <c r="K18" s="146">
        <f>'Ward Selection'!K208</f>
        <v>100</v>
      </c>
    </row>
    <row r="19" spans="1:11" s="5" customFormat="1" x14ac:dyDescent="0.2">
      <c r="A19" s="28" t="s">
        <v>432</v>
      </c>
      <c r="B19" s="91" t="s">
        <v>85</v>
      </c>
      <c r="C19" s="66"/>
      <c r="D19" s="155">
        <f>'Ward Selection'!D209</f>
        <v>27183134</v>
      </c>
      <c r="E19" s="105">
        <f>'Ward Selection'!E209</f>
        <v>69.900000000000006</v>
      </c>
      <c r="F19" s="155">
        <f>'Ward Selection'!F209</f>
        <v>2649975</v>
      </c>
      <c r="G19" s="105">
        <f>'Ward Selection'!G209</f>
        <v>68.400000000000006</v>
      </c>
      <c r="H19" s="155">
        <f>'Ward Selection'!H209</f>
        <v>113306</v>
      </c>
      <c r="I19" s="105">
        <f>'Ward Selection'!I209</f>
        <v>66.5</v>
      </c>
      <c r="J19" s="155">
        <f>'Ward Selection'!J209</f>
        <v>6144</v>
      </c>
      <c r="K19" s="147">
        <f>'Ward Selection'!K209</f>
        <v>73</v>
      </c>
    </row>
    <row r="20" spans="1:11" s="5" customFormat="1" x14ac:dyDescent="0.2">
      <c r="A20" s="28"/>
      <c r="B20" s="91" t="s">
        <v>86</v>
      </c>
      <c r="C20" s="66"/>
      <c r="D20" s="155">
        <f>'Ward Selection'!D210</f>
        <v>24143464</v>
      </c>
      <c r="E20" s="105">
        <f>'Ward Selection'!E210</f>
        <v>62.1</v>
      </c>
      <c r="F20" s="155">
        <f>'Ward Selection'!F210</f>
        <v>2325386</v>
      </c>
      <c r="G20" s="105">
        <f>'Ward Selection'!G210</f>
        <v>60</v>
      </c>
      <c r="H20" s="155">
        <f>'Ward Selection'!H210</f>
        <v>100751</v>
      </c>
      <c r="I20" s="105">
        <f>'Ward Selection'!I210</f>
        <v>59.1</v>
      </c>
      <c r="J20" s="155">
        <f>'Ward Selection'!J210</f>
        <v>5689</v>
      </c>
      <c r="K20" s="147">
        <f>'Ward Selection'!K210</f>
        <v>67.5</v>
      </c>
    </row>
    <row r="21" spans="1:11" s="5" customFormat="1" x14ac:dyDescent="0.2">
      <c r="A21" s="28"/>
      <c r="B21" s="91" t="s">
        <v>87</v>
      </c>
      <c r="C21" s="66"/>
      <c r="D21" s="155">
        <f>'Ward Selection'!D211</f>
        <v>5333268</v>
      </c>
      <c r="E21" s="105">
        <f>'Ward Selection'!E211</f>
        <v>13.7</v>
      </c>
      <c r="F21" s="155">
        <f>'Ward Selection'!F211</f>
        <v>564578</v>
      </c>
      <c r="G21" s="105">
        <f>'Ward Selection'!G211</f>
        <v>14.6</v>
      </c>
      <c r="H21" s="155">
        <f>'Ward Selection'!H211</f>
        <v>24807</v>
      </c>
      <c r="I21" s="105">
        <f>'Ward Selection'!I211</f>
        <v>14.6</v>
      </c>
      <c r="J21" s="155">
        <f>'Ward Selection'!J211</f>
        <v>1272</v>
      </c>
      <c r="K21" s="147">
        <f>'Ward Selection'!K211</f>
        <v>15.1</v>
      </c>
    </row>
    <row r="22" spans="1:11" s="5" customFormat="1" x14ac:dyDescent="0.2">
      <c r="A22" s="28"/>
      <c r="B22" s="91" t="s">
        <v>88</v>
      </c>
      <c r="C22" s="66"/>
      <c r="D22" s="155">
        <f>'Ward Selection'!D212</f>
        <v>15016564</v>
      </c>
      <c r="E22" s="105">
        <f>'Ward Selection'!E212</f>
        <v>38.6</v>
      </c>
      <c r="F22" s="155">
        <f>'Ward Selection'!F212</f>
        <v>1435376</v>
      </c>
      <c r="G22" s="105">
        <f>'Ward Selection'!G212</f>
        <v>37</v>
      </c>
      <c r="H22" s="155">
        <f>'Ward Selection'!H212</f>
        <v>62841</v>
      </c>
      <c r="I22" s="105">
        <f>'Ward Selection'!I212</f>
        <v>36.9</v>
      </c>
      <c r="J22" s="155">
        <f>'Ward Selection'!J212</f>
        <v>3507</v>
      </c>
      <c r="K22" s="147">
        <f>'Ward Selection'!K212</f>
        <v>41.6</v>
      </c>
    </row>
    <row r="23" spans="1:11" s="5" customFormat="1" x14ac:dyDescent="0.2">
      <c r="A23" s="28"/>
      <c r="B23" s="91" t="s">
        <v>89</v>
      </c>
      <c r="C23" s="66"/>
      <c r="D23" s="155">
        <f>'Ward Selection'!D213</f>
        <v>3793632</v>
      </c>
      <c r="E23" s="105">
        <f>'Ward Selection'!E213</f>
        <v>9.8000000000000007</v>
      </c>
      <c r="F23" s="155">
        <f>'Ward Selection'!F213</f>
        <v>325432</v>
      </c>
      <c r="G23" s="105">
        <f>'Ward Selection'!G213</f>
        <v>8.4</v>
      </c>
      <c r="H23" s="155">
        <f>'Ward Selection'!H213</f>
        <v>13103</v>
      </c>
      <c r="I23" s="105">
        <f>'Ward Selection'!I213</f>
        <v>7.7</v>
      </c>
      <c r="J23" s="155">
        <f>'Ward Selection'!J213</f>
        <v>910</v>
      </c>
      <c r="K23" s="147">
        <f>'Ward Selection'!K213</f>
        <v>10.8</v>
      </c>
    </row>
    <row r="24" spans="1:11" s="5" customFormat="1" x14ac:dyDescent="0.2">
      <c r="A24" s="28"/>
      <c r="B24" s="91" t="s">
        <v>90</v>
      </c>
      <c r="C24" s="66"/>
      <c r="D24" s="155">
        <f>'Ward Selection'!D214</f>
        <v>1702847</v>
      </c>
      <c r="E24" s="105">
        <f>'Ward Selection'!E214</f>
        <v>4.4000000000000004</v>
      </c>
      <c r="F24" s="155">
        <f>'Ward Selection'!F214</f>
        <v>187755</v>
      </c>
      <c r="G24" s="105">
        <f>'Ward Selection'!G214</f>
        <v>4.8</v>
      </c>
      <c r="H24" s="155">
        <f>'Ward Selection'!H214</f>
        <v>8738</v>
      </c>
      <c r="I24" s="105">
        <f>'Ward Selection'!I214</f>
        <v>5.0999999999999996</v>
      </c>
      <c r="J24" s="155">
        <f>'Ward Selection'!J214</f>
        <v>251</v>
      </c>
      <c r="K24" s="147">
        <f>'Ward Selection'!K214</f>
        <v>3</v>
      </c>
    </row>
    <row r="25" spans="1:11" s="5" customFormat="1" x14ac:dyDescent="0.2">
      <c r="A25" s="28"/>
      <c r="B25" s="91" t="s">
        <v>91</v>
      </c>
      <c r="C25" s="66"/>
      <c r="D25" s="155">
        <f>'Ward Selection'!D215</f>
        <v>1336823</v>
      </c>
      <c r="E25" s="105">
        <f>'Ward Selection'!E215</f>
        <v>3.4</v>
      </c>
      <c r="F25" s="155">
        <f>'Ward Selection'!F215</f>
        <v>136834</v>
      </c>
      <c r="G25" s="105">
        <f>'Ward Selection'!G215</f>
        <v>3.5</v>
      </c>
      <c r="H25" s="155">
        <f>'Ward Selection'!H215</f>
        <v>3817</v>
      </c>
      <c r="I25" s="105">
        <f>'Ward Selection'!I215</f>
        <v>2.2000000000000002</v>
      </c>
      <c r="J25" s="155">
        <f>'Ward Selection'!J215</f>
        <v>204</v>
      </c>
      <c r="K25" s="147">
        <f>'Ward Selection'!K215</f>
        <v>2.4</v>
      </c>
    </row>
    <row r="26" spans="1:11" s="5" customFormat="1" x14ac:dyDescent="0.2">
      <c r="A26" s="28"/>
      <c r="B26" s="91" t="s">
        <v>92</v>
      </c>
      <c r="C26" s="66"/>
      <c r="D26" s="155">
        <f>'Ward Selection'!D216</f>
        <v>11698240</v>
      </c>
      <c r="E26" s="105">
        <f>'Ward Selection'!E216</f>
        <v>30.1</v>
      </c>
      <c r="F26" s="155">
        <f>'Ward Selection'!F216</f>
        <v>1225244</v>
      </c>
      <c r="G26" s="105">
        <f>'Ward Selection'!G216</f>
        <v>31.6</v>
      </c>
      <c r="H26" s="155">
        <f>'Ward Selection'!H216</f>
        <v>57099</v>
      </c>
      <c r="I26" s="105">
        <f>'Ward Selection'!I216</f>
        <v>33.5</v>
      </c>
      <c r="J26" s="155">
        <f>'Ward Selection'!J216</f>
        <v>2278</v>
      </c>
      <c r="K26" s="147">
        <f>'Ward Selection'!K216</f>
        <v>27</v>
      </c>
    </row>
    <row r="27" spans="1:11" s="5" customFormat="1" x14ac:dyDescent="0.2">
      <c r="A27" s="28"/>
      <c r="B27" s="91" t="s">
        <v>93</v>
      </c>
      <c r="C27" s="66"/>
      <c r="D27" s="155">
        <f>'Ward Selection'!D217</f>
        <v>5320691</v>
      </c>
      <c r="E27" s="105">
        <f>'Ward Selection'!E217</f>
        <v>13.7</v>
      </c>
      <c r="F27" s="155">
        <f>'Ward Selection'!F217</f>
        <v>570173</v>
      </c>
      <c r="G27" s="105">
        <f>'Ward Selection'!G217</f>
        <v>14.7</v>
      </c>
      <c r="H27" s="155">
        <f>'Ward Selection'!H217</f>
        <v>28008</v>
      </c>
      <c r="I27" s="105">
        <f>'Ward Selection'!I217</f>
        <v>16.399999999999999</v>
      </c>
      <c r="J27" s="155">
        <f>'Ward Selection'!J217</f>
        <v>1398</v>
      </c>
      <c r="K27" s="147">
        <f>'Ward Selection'!K217</f>
        <v>16.600000000000001</v>
      </c>
    </row>
    <row r="28" spans="1:11" s="5" customFormat="1" ht="25.5" x14ac:dyDescent="0.2">
      <c r="A28" s="28"/>
      <c r="B28" s="91" t="s">
        <v>94</v>
      </c>
      <c r="C28" s="66"/>
      <c r="D28" s="155">
        <f>'Ward Selection'!D218</f>
        <v>2255831</v>
      </c>
      <c r="E28" s="105">
        <f>'Ward Selection'!E218</f>
        <v>5.8</v>
      </c>
      <c r="F28" s="155">
        <f>'Ward Selection'!F218</f>
        <v>228653</v>
      </c>
      <c r="G28" s="105">
        <f>'Ward Selection'!G218</f>
        <v>5.9</v>
      </c>
      <c r="H28" s="155">
        <f>'Ward Selection'!H218</f>
        <v>6225</v>
      </c>
      <c r="I28" s="105">
        <f>'Ward Selection'!I218</f>
        <v>3.7</v>
      </c>
      <c r="J28" s="155">
        <f>'Ward Selection'!J218</f>
        <v>278</v>
      </c>
      <c r="K28" s="147">
        <f>'Ward Selection'!K218</f>
        <v>3.3</v>
      </c>
    </row>
    <row r="29" spans="1:11" s="5" customFormat="1" ht="25.5" x14ac:dyDescent="0.2">
      <c r="A29" s="28"/>
      <c r="B29" s="91" t="s">
        <v>95</v>
      </c>
      <c r="C29" s="66"/>
      <c r="D29" s="155">
        <f>'Ward Selection'!D219</f>
        <v>1695134</v>
      </c>
      <c r="E29" s="105">
        <f>'Ward Selection'!E219</f>
        <v>4.4000000000000004</v>
      </c>
      <c r="F29" s="155">
        <f>'Ward Selection'!F219</f>
        <v>166214</v>
      </c>
      <c r="G29" s="105">
        <f>'Ward Selection'!G219</f>
        <v>4.3</v>
      </c>
      <c r="H29" s="155">
        <f>'Ward Selection'!H219</f>
        <v>7435</v>
      </c>
      <c r="I29" s="105">
        <f>'Ward Selection'!I219</f>
        <v>4.4000000000000004</v>
      </c>
      <c r="J29" s="155">
        <f>'Ward Selection'!J219</f>
        <v>260</v>
      </c>
      <c r="K29" s="147">
        <f>'Ward Selection'!K219</f>
        <v>3.1</v>
      </c>
    </row>
    <row r="30" spans="1:11" s="5" customFormat="1" ht="25.5" x14ac:dyDescent="0.2">
      <c r="A30" s="28"/>
      <c r="B30" s="91" t="s">
        <v>96</v>
      </c>
      <c r="C30" s="66"/>
      <c r="D30" s="155">
        <f>'Ward Selection'!D220</f>
        <v>1574134</v>
      </c>
      <c r="E30" s="105">
        <f>'Ward Selection'!E220</f>
        <v>4</v>
      </c>
      <c r="F30" s="155">
        <f>'Ward Selection'!F220</f>
        <v>174493</v>
      </c>
      <c r="G30" s="105">
        <f>'Ward Selection'!G220</f>
        <v>4.5</v>
      </c>
      <c r="H30" s="155">
        <f>'Ward Selection'!H220</f>
        <v>11925</v>
      </c>
      <c r="I30" s="105">
        <f>'Ward Selection'!I220</f>
        <v>7</v>
      </c>
      <c r="J30" s="155">
        <f>'Ward Selection'!J220</f>
        <v>246</v>
      </c>
      <c r="K30" s="147">
        <f>'Ward Selection'!K220</f>
        <v>2.9</v>
      </c>
    </row>
    <row r="31" spans="1:11" s="5" customFormat="1" x14ac:dyDescent="0.2">
      <c r="A31" s="28"/>
      <c r="B31" s="91" t="s">
        <v>97</v>
      </c>
      <c r="C31" s="66"/>
      <c r="D31" s="155">
        <f>'Ward Selection'!D221</f>
        <v>852450</v>
      </c>
      <c r="E31" s="105">
        <f>'Ward Selection'!E221</f>
        <v>2.2000000000000002</v>
      </c>
      <c r="F31" s="155">
        <f>'Ward Selection'!F221</f>
        <v>85711</v>
      </c>
      <c r="G31" s="105">
        <f>'Ward Selection'!G221</f>
        <v>2.2000000000000002</v>
      </c>
      <c r="H31" s="155">
        <f>'Ward Selection'!H221</f>
        <v>3506</v>
      </c>
      <c r="I31" s="105">
        <f>'Ward Selection'!I221</f>
        <v>2.1</v>
      </c>
      <c r="J31" s="155">
        <f>'Ward Selection'!J221</f>
        <v>96</v>
      </c>
      <c r="K31" s="147">
        <f>'Ward Selection'!K221</f>
        <v>1.1000000000000001</v>
      </c>
    </row>
    <row r="32" spans="1:11" s="5" customFormat="1" x14ac:dyDescent="0.2">
      <c r="A32" s="28"/>
      <c r="B32" s="91" t="s">
        <v>98</v>
      </c>
      <c r="C32" s="66"/>
      <c r="D32" s="155">
        <f>'Ward Selection'!D222</f>
        <v>471666</v>
      </c>
      <c r="E32" s="105">
        <f>'Ward Selection'!E222</f>
        <v>1.2</v>
      </c>
      <c r="F32" s="155">
        <f>'Ward Selection'!F222</f>
        <v>56251</v>
      </c>
      <c r="G32" s="105">
        <f>'Ward Selection'!G222</f>
        <v>1.5</v>
      </c>
      <c r="H32" s="155">
        <f>'Ward Selection'!H222</f>
        <v>2942</v>
      </c>
      <c r="I32" s="105">
        <f>'Ward Selection'!I222</f>
        <v>1.7</v>
      </c>
      <c r="J32" s="155">
        <f>'Ward Selection'!J222</f>
        <v>77</v>
      </c>
      <c r="K32" s="147">
        <f>'Ward Selection'!K222</f>
        <v>0.9</v>
      </c>
    </row>
    <row r="33" spans="1:11" s="5" customFormat="1" x14ac:dyDescent="0.2">
      <c r="A33" s="28"/>
      <c r="B33" s="91" t="s">
        <v>99</v>
      </c>
      <c r="C33" s="66"/>
      <c r="D33" s="155">
        <f>'Ward Selection'!D223</f>
        <v>315863</v>
      </c>
      <c r="E33" s="105">
        <f>'Ward Selection'!E223</f>
        <v>0.8</v>
      </c>
      <c r="F33" s="155">
        <f>'Ward Selection'!F223</f>
        <v>32216</v>
      </c>
      <c r="G33" s="105">
        <f>'Ward Selection'!G223</f>
        <v>0.8</v>
      </c>
      <c r="H33" s="155">
        <f>'Ward Selection'!H223</f>
        <v>1349</v>
      </c>
      <c r="I33" s="105">
        <f>'Ward Selection'!I223</f>
        <v>0.8</v>
      </c>
      <c r="J33" s="155">
        <f>'Ward Selection'!J223</f>
        <v>54</v>
      </c>
      <c r="K33" s="147">
        <f>'Ward Selection'!K223</f>
        <v>0.6</v>
      </c>
    </row>
    <row r="34" spans="1:11" s="5" customFormat="1" x14ac:dyDescent="0.2">
      <c r="A34" s="28"/>
      <c r="B34" s="91" t="s">
        <v>100</v>
      </c>
      <c r="C34" s="66"/>
      <c r="D34" s="155">
        <f>'Ward Selection'!D224</f>
        <v>276121</v>
      </c>
      <c r="E34" s="105">
        <f>'Ward Selection'!E224</f>
        <v>0.7</v>
      </c>
      <c r="F34" s="155">
        <f>'Ward Selection'!F224</f>
        <v>32785</v>
      </c>
      <c r="G34" s="105">
        <f>'Ward Selection'!G224</f>
        <v>0.8</v>
      </c>
      <c r="H34" s="155">
        <f>'Ward Selection'!H224</f>
        <v>1639</v>
      </c>
      <c r="I34" s="105">
        <f>'Ward Selection'!I224</f>
        <v>1</v>
      </c>
      <c r="J34" s="155">
        <f>'Ward Selection'!J224</f>
        <v>35</v>
      </c>
      <c r="K34" s="147">
        <f>'Ward Selection'!K224</f>
        <v>0.4</v>
      </c>
    </row>
    <row r="35" spans="1:11" s="5" customFormat="1" x14ac:dyDescent="0.2">
      <c r="A35" s="29"/>
      <c r="B35" s="92" t="s">
        <v>101</v>
      </c>
      <c r="C35" s="70"/>
      <c r="D35" s="158">
        <f>'Ward Selection'!D225</f>
        <v>668496</v>
      </c>
      <c r="E35" s="106">
        <f>'Ward Selection'!E225</f>
        <v>1.7</v>
      </c>
      <c r="F35" s="158">
        <f>'Ward Selection'!F225</f>
        <v>75113</v>
      </c>
      <c r="G35" s="106">
        <f>'Ward Selection'!G225</f>
        <v>1.9</v>
      </c>
      <c r="H35" s="158">
        <f>'Ward Selection'!H225</f>
        <v>3577</v>
      </c>
      <c r="I35" s="106">
        <f>'Ward Selection'!I225</f>
        <v>2.1</v>
      </c>
      <c r="J35" s="158">
        <f>'Ward Selection'!J225</f>
        <v>98</v>
      </c>
      <c r="K35" s="148">
        <f>'Ward Selection'!K225</f>
        <v>1.2</v>
      </c>
    </row>
    <row r="36" spans="1:11" s="5" customFormat="1" x14ac:dyDescent="0.2">
      <c r="A36" s="165"/>
      <c r="B36" s="166"/>
      <c r="C36" s="167"/>
      <c r="D36" s="160"/>
      <c r="E36" s="161"/>
      <c r="F36" s="160"/>
      <c r="G36" s="162"/>
      <c r="H36" s="163"/>
      <c r="I36" s="161"/>
      <c r="J36" s="164"/>
      <c r="K36" s="149"/>
    </row>
    <row r="37" spans="1:11" s="5" customFormat="1" ht="27.75" customHeight="1" x14ac:dyDescent="0.2">
      <c r="A37" s="27" t="s">
        <v>130</v>
      </c>
      <c r="B37" s="93" t="s">
        <v>125</v>
      </c>
      <c r="C37" s="62"/>
      <c r="D37" s="156">
        <f>'Ward Selection'!D227</f>
        <v>25162721</v>
      </c>
      <c r="E37" s="63">
        <f>'Ward Selection'!E227</f>
        <v>100</v>
      </c>
      <c r="F37" s="156">
        <f>'Ward Selection'!F227</f>
        <v>2428074</v>
      </c>
      <c r="G37" s="63">
        <f>'Ward Selection'!G227</f>
        <v>100</v>
      </c>
      <c r="H37" s="156">
        <f>'Ward Selection'!H227</f>
        <v>103579</v>
      </c>
      <c r="I37" s="63">
        <f>'Ward Selection'!I227</f>
        <v>100</v>
      </c>
      <c r="J37" s="156">
        <f>'Ward Selection'!J227</f>
        <v>5860</v>
      </c>
      <c r="K37" s="146">
        <f>'Ward Selection'!K227</f>
        <v>100</v>
      </c>
    </row>
    <row r="38" spans="1:11" s="5" customFormat="1" x14ac:dyDescent="0.2">
      <c r="A38" s="28"/>
      <c r="B38" s="91" t="s">
        <v>126</v>
      </c>
      <c r="C38" s="66"/>
      <c r="D38" s="155">
        <f>'Ward Selection'!D228</f>
        <v>2418518</v>
      </c>
      <c r="E38" s="105">
        <f>'Ward Selection'!E228</f>
        <v>9.6</v>
      </c>
      <c r="F38" s="155">
        <f>'Ward Selection'!F228</f>
        <v>229654</v>
      </c>
      <c r="G38" s="105">
        <f>'Ward Selection'!G228</f>
        <v>9.5</v>
      </c>
      <c r="H38" s="155">
        <f>'Ward Selection'!H228</f>
        <v>8086</v>
      </c>
      <c r="I38" s="105">
        <f>'Ward Selection'!I228</f>
        <v>7.8</v>
      </c>
      <c r="J38" s="155">
        <f>'Ward Selection'!J228</f>
        <v>509</v>
      </c>
      <c r="K38" s="147">
        <f>'Ward Selection'!K228</f>
        <v>8.6999999999999993</v>
      </c>
    </row>
    <row r="39" spans="1:11" s="5" customFormat="1" x14ac:dyDescent="0.2">
      <c r="A39" s="28"/>
      <c r="B39" s="91" t="s">
        <v>127</v>
      </c>
      <c r="C39" s="66"/>
      <c r="D39" s="155">
        <f>'Ward Selection'!D229</f>
        <v>4888565</v>
      </c>
      <c r="E39" s="105">
        <f>'Ward Selection'!E229</f>
        <v>19.399999999999999</v>
      </c>
      <c r="F39" s="155">
        <f>'Ward Selection'!F229</f>
        <v>515440</v>
      </c>
      <c r="G39" s="105">
        <f>'Ward Selection'!G229</f>
        <v>21.2</v>
      </c>
      <c r="H39" s="155">
        <f>'Ward Selection'!H229</f>
        <v>22357</v>
      </c>
      <c r="I39" s="105">
        <f>'Ward Selection'!I229</f>
        <v>21.6</v>
      </c>
      <c r="J39" s="155">
        <f>'Ward Selection'!J229</f>
        <v>1125</v>
      </c>
      <c r="K39" s="147">
        <f>'Ward Selection'!K229</f>
        <v>19.2</v>
      </c>
    </row>
    <row r="40" spans="1:11" s="5" customFormat="1" x14ac:dyDescent="0.2">
      <c r="A40" s="28"/>
      <c r="B40" s="91" t="s">
        <v>128</v>
      </c>
      <c r="C40" s="66"/>
      <c r="D40" s="155">
        <f>'Ward Selection'!D230</f>
        <v>14502713</v>
      </c>
      <c r="E40" s="105">
        <f>'Ward Selection'!E230</f>
        <v>57.6</v>
      </c>
      <c r="F40" s="155">
        <f>'Ward Selection'!F230</f>
        <v>1393681</v>
      </c>
      <c r="G40" s="105">
        <f>'Ward Selection'!G230</f>
        <v>57.4</v>
      </c>
      <c r="H40" s="155">
        <f>'Ward Selection'!H230</f>
        <v>61102</v>
      </c>
      <c r="I40" s="105">
        <f>'Ward Selection'!I230</f>
        <v>59</v>
      </c>
      <c r="J40" s="155">
        <f>'Ward Selection'!J230</f>
        <v>3320</v>
      </c>
      <c r="K40" s="147">
        <f>'Ward Selection'!K230</f>
        <v>56.7</v>
      </c>
    </row>
    <row r="41" spans="1:11" s="5" customFormat="1" x14ac:dyDescent="0.2">
      <c r="A41" s="29"/>
      <c r="B41" s="92" t="s">
        <v>129</v>
      </c>
      <c r="C41" s="70"/>
      <c r="D41" s="158">
        <f>'Ward Selection'!D231</f>
        <v>3352925</v>
      </c>
      <c r="E41" s="106">
        <f>'Ward Selection'!E231</f>
        <v>13.3</v>
      </c>
      <c r="F41" s="158">
        <f>'Ward Selection'!F231</f>
        <v>289299</v>
      </c>
      <c r="G41" s="106">
        <f>'Ward Selection'!G231</f>
        <v>11.9</v>
      </c>
      <c r="H41" s="158">
        <f>'Ward Selection'!H231</f>
        <v>12034</v>
      </c>
      <c r="I41" s="106">
        <f>'Ward Selection'!I231</f>
        <v>11.6</v>
      </c>
      <c r="J41" s="158">
        <f>'Ward Selection'!J231</f>
        <v>906</v>
      </c>
      <c r="K41" s="148">
        <f>'Ward Selection'!K231</f>
        <v>15.5</v>
      </c>
    </row>
    <row r="42" spans="1:11" s="5" customFormat="1" x14ac:dyDescent="0.2">
      <c r="A42" s="180"/>
      <c r="B42" s="92"/>
      <c r="C42" s="70"/>
      <c r="D42" s="158"/>
      <c r="E42" s="181"/>
      <c r="F42" s="158"/>
      <c r="G42" s="182"/>
      <c r="H42" s="134"/>
      <c r="I42" s="181"/>
      <c r="J42" s="137"/>
      <c r="K42" s="73"/>
    </row>
    <row r="43" spans="1:11" s="5" customFormat="1" x14ac:dyDescent="0.2">
      <c r="A43" s="27" t="s">
        <v>156</v>
      </c>
      <c r="B43" s="93" t="s">
        <v>137</v>
      </c>
      <c r="C43" s="62"/>
      <c r="D43" s="156">
        <f>'Ward Selection'!D233</f>
        <v>25162721</v>
      </c>
      <c r="E43" s="63">
        <f>'Ward Selection'!E233</f>
        <v>100</v>
      </c>
      <c r="F43" s="156">
        <f>'Ward Selection'!F233</f>
        <v>2428074</v>
      </c>
      <c r="G43" s="63">
        <f>'Ward Selection'!G233</f>
        <v>100</v>
      </c>
      <c r="H43" s="156">
        <f>'Ward Selection'!H233</f>
        <v>103579</v>
      </c>
      <c r="I43" s="63">
        <f>'Ward Selection'!I233</f>
        <v>100</v>
      </c>
      <c r="J43" s="156">
        <f>'Ward Selection'!J233</f>
        <v>5860</v>
      </c>
      <c r="K43" s="146">
        <f>'Ward Selection'!K233</f>
        <v>100</v>
      </c>
    </row>
    <row r="44" spans="1:11" s="5" customFormat="1" x14ac:dyDescent="0.2">
      <c r="A44" s="28"/>
      <c r="B44" s="91" t="s">
        <v>138</v>
      </c>
      <c r="C44" s="66"/>
      <c r="D44" s="155">
        <f>'Ward Selection'!D234</f>
        <v>203789</v>
      </c>
      <c r="E44" s="105">
        <f>'Ward Selection'!E234</f>
        <v>0.8</v>
      </c>
      <c r="F44" s="155">
        <f>'Ward Selection'!F234</f>
        <v>22642</v>
      </c>
      <c r="G44" s="105">
        <f>'Ward Selection'!G234</f>
        <v>0.9</v>
      </c>
      <c r="H44" s="155">
        <f>'Ward Selection'!H234</f>
        <v>530</v>
      </c>
      <c r="I44" s="105">
        <f>'Ward Selection'!I234</f>
        <v>0.5</v>
      </c>
      <c r="J44" s="155">
        <f>'Ward Selection'!J234</f>
        <v>104</v>
      </c>
      <c r="K44" s="147">
        <f>'Ward Selection'!K234</f>
        <v>1.8</v>
      </c>
    </row>
    <row r="45" spans="1:11" s="5" customFormat="1" x14ac:dyDescent="0.2">
      <c r="A45" s="28"/>
      <c r="B45" s="91" t="s">
        <v>139</v>
      </c>
      <c r="C45" s="66"/>
      <c r="D45" s="155">
        <f>'Ward Selection'!D235</f>
        <v>43302</v>
      </c>
      <c r="E45" s="105">
        <f>'Ward Selection'!E235</f>
        <v>0.2</v>
      </c>
      <c r="F45" s="155">
        <f>'Ward Selection'!F235</f>
        <v>5558</v>
      </c>
      <c r="G45" s="105">
        <f>'Ward Selection'!G235</f>
        <v>0.2</v>
      </c>
      <c r="H45" s="155">
        <f>'Ward Selection'!H235</f>
        <v>447</v>
      </c>
      <c r="I45" s="105">
        <f>'Ward Selection'!I235</f>
        <v>0.4</v>
      </c>
      <c r="J45" s="155">
        <f>'Ward Selection'!J235</f>
        <v>5</v>
      </c>
      <c r="K45" s="147">
        <f>'Ward Selection'!K235</f>
        <v>0.1</v>
      </c>
    </row>
    <row r="46" spans="1:11" s="5" customFormat="1" x14ac:dyDescent="0.2">
      <c r="A46" s="28"/>
      <c r="B46" s="91" t="s">
        <v>140</v>
      </c>
      <c r="C46" s="66"/>
      <c r="D46" s="155">
        <f>'Ward Selection'!D236</f>
        <v>2226247</v>
      </c>
      <c r="E46" s="105">
        <f>'Ward Selection'!E236</f>
        <v>8.8000000000000007</v>
      </c>
      <c r="F46" s="155">
        <f>'Ward Selection'!F236</f>
        <v>272746</v>
      </c>
      <c r="G46" s="105">
        <f>'Ward Selection'!G236</f>
        <v>11.2</v>
      </c>
      <c r="H46" s="155">
        <f>'Ward Selection'!H236</f>
        <v>13003</v>
      </c>
      <c r="I46" s="105">
        <f>'Ward Selection'!I236</f>
        <v>12.6</v>
      </c>
      <c r="J46" s="155">
        <f>'Ward Selection'!J236</f>
        <v>806</v>
      </c>
      <c r="K46" s="147">
        <f>'Ward Selection'!K236</f>
        <v>13.8</v>
      </c>
    </row>
    <row r="47" spans="1:11" s="5" customFormat="1" ht="25.5" x14ac:dyDescent="0.2">
      <c r="A47" s="28"/>
      <c r="B47" s="91" t="s">
        <v>141</v>
      </c>
      <c r="C47" s="66"/>
      <c r="D47" s="155">
        <f>'Ward Selection'!D237</f>
        <v>140148</v>
      </c>
      <c r="E47" s="105">
        <f>'Ward Selection'!E237</f>
        <v>0.6</v>
      </c>
      <c r="F47" s="155">
        <f>'Ward Selection'!F237</f>
        <v>14406</v>
      </c>
      <c r="G47" s="105">
        <f>'Ward Selection'!G237</f>
        <v>0.6</v>
      </c>
      <c r="H47" s="155">
        <f>'Ward Selection'!H237</f>
        <v>556</v>
      </c>
      <c r="I47" s="105">
        <f>'Ward Selection'!I237</f>
        <v>0.5</v>
      </c>
      <c r="J47" s="155">
        <f>'Ward Selection'!J237</f>
        <v>18</v>
      </c>
      <c r="K47" s="147">
        <f>'Ward Selection'!K237</f>
        <v>0.3</v>
      </c>
    </row>
    <row r="48" spans="1:11" s="5" customFormat="1" ht="25.5" x14ac:dyDescent="0.2">
      <c r="A48" s="28"/>
      <c r="B48" s="91" t="s">
        <v>142</v>
      </c>
      <c r="C48" s="66"/>
      <c r="D48" s="155">
        <f>'Ward Selection'!D238</f>
        <v>175214</v>
      </c>
      <c r="E48" s="105">
        <f>'Ward Selection'!E238</f>
        <v>0.7</v>
      </c>
      <c r="F48" s="155">
        <f>'Ward Selection'!F238</f>
        <v>17921</v>
      </c>
      <c r="G48" s="105">
        <f>'Ward Selection'!G238</f>
        <v>0.7</v>
      </c>
      <c r="H48" s="155">
        <f>'Ward Selection'!H238</f>
        <v>1047</v>
      </c>
      <c r="I48" s="105">
        <f>'Ward Selection'!I238</f>
        <v>1</v>
      </c>
      <c r="J48" s="155">
        <f>'Ward Selection'!J238</f>
        <v>43</v>
      </c>
      <c r="K48" s="147">
        <f>'Ward Selection'!K238</f>
        <v>0.7</v>
      </c>
    </row>
    <row r="49" spans="1:11" s="5" customFormat="1" x14ac:dyDescent="0.2">
      <c r="A49" s="28"/>
      <c r="B49" s="91" t="s">
        <v>143</v>
      </c>
      <c r="C49" s="66"/>
      <c r="D49" s="155">
        <f>'Ward Selection'!D239</f>
        <v>1931936</v>
      </c>
      <c r="E49" s="105">
        <f>'Ward Selection'!E239</f>
        <v>7.7</v>
      </c>
      <c r="F49" s="155">
        <f>'Ward Selection'!F239</f>
        <v>193645</v>
      </c>
      <c r="G49" s="105">
        <f>'Ward Selection'!G239</f>
        <v>8</v>
      </c>
      <c r="H49" s="155">
        <f>'Ward Selection'!H239</f>
        <v>11094</v>
      </c>
      <c r="I49" s="105">
        <f>'Ward Selection'!I239</f>
        <v>10.7</v>
      </c>
      <c r="J49" s="155">
        <f>'Ward Selection'!J239</f>
        <v>482</v>
      </c>
      <c r="K49" s="147">
        <f>'Ward Selection'!K239</f>
        <v>8.1999999999999993</v>
      </c>
    </row>
    <row r="50" spans="1:11" s="5" customFormat="1" ht="25.5" x14ac:dyDescent="0.2">
      <c r="A50" s="28"/>
      <c r="B50" s="91" t="s">
        <v>144</v>
      </c>
      <c r="C50" s="66"/>
      <c r="D50" s="155">
        <f>'Ward Selection'!D240</f>
        <v>4007570</v>
      </c>
      <c r="E50" s="105">
        <f>'Ward Selection'!E240</f>
        <v>15.9</v>
      </c>
      <c r="F50" s="155">
        <f>'Ward Selection'!F240</f>
        <v>409728</v>
      </c>
      <c r="G50" s="105">
        <f>'Ward Selection'!G240</f>
        <v>16.899999999999999</v>
      </c>
      <c r="H50" s="155">
        <f>'Ward Selection'!H240</f>
        <v>18143</v>
      </c>
      <c r="I50" s="105">
        <f>'Ward Selection'!I240</f>
        <v>17.5</v>
      </c>
      <c r="J50" s="155">
        <f>'Ward Selection'!J240</f>
        <v>861</v>
      </c>
      <c r="K50" s="147">
        <f>'Ward Selection'!K240</f>
        <v>14.7</v>
      </c>
    </row>
    <row r="51" spans="1:11" s="5" customFormat="1" x14ac:dyDescent="0.2">
      <c r="A51" s="28"/>
      <c r="B51" s="91" t="s">
        <v>145</v>
      </c>
      <c r="C51" s="66"/>
      <c r="D51" s="155">
        <f>'Ward Selection'!D241</f>
        <v>1260094</v>
      </c>
      <c r="E51" s="105">
        <f>'Ward Selection'!E241</f>
        <v>5</v>
      </c>
      <c r="F51" s="155">
        <f>'Ward Selection'!F241</f>
        <v>119806</v>
      </c>
      <c r="G51" s="105">
        <f>'Ward Selection'!G241</f>
        <v>4.9000000000000004</v>
      </c>
      <c r="H51" s="155">
        <f>'Ward Selection'!H241</f>
        <v>5220</v>
      </c>
      <c r="I51" s="105">
        <f>'Ward Selection'!I241</f>
        <v>5</v>
      </c>
      <c r="J51" s="155">
        <f>'Ward Selection'!J241</f>
        <v>230</v>
      </c>
      <c r="K51" s="147">
        <f>'Ward Selection'!K241</f>
        <v>3.9</v>
      </c>
    </row>
    <row r="52" spans="1:11" s="5" customFormat="1" x14ac:dyDescent="0.2">
      <c r="A52" s="28"/>
      <c r="B52" s="91" t="s">
        <v>146</v>
      </c>
      <c r="C52" s="66"/>
      <c r="D52" s="155">
        <f>'Ward Selection'!D242</f>
        <v>1399931</v>
      </c>
      <c r="E52" s="105">
        <f>'Ward Selection'!E242</f>
        <v>5.6</v>
      </c>
      <c r="F52" s="155">
        <f>'Ward Selection'!F242</f>
        <v>138567</v>
      </c>
      <c r="G52" s="105">
        <f>'Ward Selection'!G242</f>
        <v>5.7</v>
      </c>
      <c r="H52" s="155">
        <f>'Ward Selection'!H242</f>
        <v>4664</v>
      </c>
      <c r="I52" s="105">
        <f>'Ward Selection'!I242</f>
        <v>4.5</v>
      </c>
      <c r="J52" s="155">
        <f>'Ward Selection'!J242</f>
        <v>265</v>
      </c>
      <c r="K52" s="147">
        <f>'Ward Selection'!K242</f>
        <v>4.5</v>
      </c>
    </row>
    <row r="53" spans="1:11" s="5" customFormat="1" x14ac:dyDescent="0.2">
      <c r="A53" s="28"/>
      <c r="B53" s="91" t="s">
        <v>147</v>
      </c>
      <c r="C53" s="66"/>
      <c r="D53" s="155">
        <f>'Ward Selection'!D243</f>
        <v>1024352</v>
      </c>
      <c r="E53" s="105">
        <f>'Ward Selection'!E243</f>
        <v>4.0999999999999996</v>
      </c>
      <c r="F53" s="155">
        <f>'Ward Selection'!F243</f>
        <v>61646</v>
      </c>
      <c r="G53" s="105">
        <f>'Ward Selection'!G243</f>
        <v>2.5</v>
      </c>
      <c r="H53" s="155">
        <f>'Ward Selection'!H243</f>
        <v>2179</v>
      </c>
      <c r="I53" s="105">
        <f>'Ward Selection'!I243</f>
        <v>2.1</v>
      </c>
      <c r="J53" s="155">
        <f>'Ward Selection'!J243</f>
        <v>156</v>
      </c>
      <c r="K53" s="147">
        <f>'Ward Selection'!K243</f>
        <v>2.7</v>
      </c>
    </row>
    <row r="54" spans="1:11" s="5" customFormat="1" x14ac:dyDescent="0.2">
      <c r="A54" s="28"/>
      <c r="B54" s="91" t="s">
        <v>148</v>
      </c>
      <c r="C54" s="66"/>
      <c r="D54" s="155">
        <f>'Ward Selection'!D244</f>
        <v>1103858</v>
      </c>
      <c r="E54" s="105">
        <f>'Ward Selection'!E244</f>
        <v>4.4000000000000004</v>
      </c>
      <c r="F54" s="155">
        <f>'Ward Selection'!F244</f>
        <v>89939</v>
      </c>
      <c r="G54" s="105">
        <f>'Ward Selection'!G244</f>
        <v>3.7</v>
      </c>
      <c r="H54" s="155">
        <f>'Ward Selection'!H244</f>
        <v>2352</v>
      </c>
      <c r="I54" s="105">
        <f>'Ward Selection'!I244</f>
        <v>2.2999999999999998</v>
      </c>
      <c r="J54" s="155">
        <f>'Ward Selection'!J244</f>
        <v>169</v>
      </c>
      <c r="K54" s="147">
        <f>'Ward Selection'!K244</f>
        <v>2.9</v>
      </c>
    </row>
    <row r="55" spans="1:11" s="5" customFormat="1" x14ac:dyDescent="0.2">
      <c r="A55" s="28"/>
      <c r="B55" s="91" t="s">
        <v>149</v>
      </c>
      <c r="C55" s="66"/>
      <c r="D55" s="155">
        <f>'Ward Selection'!D245</f>
        <v>367459</v>
      </c>
      <c r="E55" s="105">
        <f>'Ward Selection'!E245</f>
        <v>1.5</v>
      </c>
      <c r="F55" s="155">
        <f>'Ward Selection'!F245</f>
        <v>28928</v>
      </c>
      <c r="G55" s="105">
        <f>'Ward Selection'!G245</f>
        <v>1.2</v>
      </c>
      <c r="H55" s="155">
        <f>'Ward Selection'!H245</f>
        <v>1174</v>
      </c>
      <c r="I55" s="105">
        <f>'Ward Selection'!I245</f>
        <v>1.1000000000000001</v>
      </c>
      <c r="J55" s="155">
        <f>'Ward Selection'!J245</f>
        <v>63</v>
      </c>
      <c r="K55" s="147">
        <f>'Ward Selection'!K245</f>
        <v>1.1000000000000001</v>
      </c>
    </row>
    <row r="56" spans="1:11" s="5" customFormat="1" ht="25.5" x14ac:dyDescent="0.2">
      <c r="A56" s="28"/>
      <c r="B56" s="91" t="s">
        <v>150</v>
      </c>
      <c r="C56" s="66"/>
      <c r="D56" s="155">
        <f>'Ward Selection'!D246</f>
        <v>1687127</v>
      </c>
      <c r="E56" s="105">
        <f>'Ward Selection'!E246</f>
        <v>6.7</v>
      </c>
      <c r="F56" s="155">
        <f>'Ward Selection'!F246</f>
        <v>121813</v>
      </c>
      <c r="G56" s="105">
        <f>'Ward Selection'!G246</f>
        <v>5</v>
      </c>
      <c r="H56" s="155">
        <f>'Ward Selection'!H246</f>
        <v>3852</v>
      </c>
      <c r="I56" s="105">
        <f>'Ward Selection'!I246</f>
        <v>3.7</v>
      </c>
      <c r="J56" s="155">
        <f>'Ward Selection'!J246</f>
        <v>300</v>
      </c>
      <c r="K56" s="147">
        <f>'Ward Selection'!K246</f>
        <v>5.0999999999999996</v>
      </c>
    </row>
    <row r="57" spans="1:11" s="5" customFormat="1" x14ac:dyDescent="0.2">
      <c r="A57" s="28"/>
      <c r="B57" s="91" t="s">
        <v>151</v>
      </c>
      <c r="C57" s="66"/>
      <c r="D57" s="155">
        <f>'Ward Selection'!D247</f>
        <v>1239422</v>
      </c>
      <c r="E57" s="105">
        <f>'Ward Selection'!E247</f>
        <v>4.9000000000000004</v>
      </c>
      <c r="F57" s="155">
        <f>'Ward Selection'!F247</f>
        <v>110695</v>
      </c>
      <c r="G57" s="105">
        <f>'Ward Selection'!G247</f>
        <v>4.5999999999999996</v>
      </c>
      <c r="H57" s="155">
        <f>'Ward Selection'!H247</f>
        <v>5480</v>
      </c>
      <c r="I57" s="105">
        <f>'Ward Selection'!I247</f>
        <v>5.3</v>
      </c>
      <c r="J57" s="155">
        <f>'Ward Selection'!J247</f>
        <v>228</v>
      </c>
      <c r="K57" s="147">
        <f>'Ward Selection'!K247</f>
        <v>3.9</v>
      </c>
    </row>
    <row r="58" spans="1:11" s="5" customFormat="1" ht="25.5" x14ac:dyDescent="0.2">
      <c r="A58" s="28"/>
      <c r="B58" s="91" t="s">
        <v>152</v>
      </c>
      <c r="C58" s="66"/>
      <c r="D58" s="155">
        <f>'Ward Selection'!D248</f>
        <v>1483450</v>
      </c>
      <c r="E58" s="105">
        <f>'Ward Selection'!E248</f>
        <v>5.9</v>
      </c>
      <c r="F58" s="155">
        <f>'Ward Selection'!F248</f>
        <v>143139</v>
      </c>
      <c r="G58" s="105">
        <f>'Ward Selection'!G248</f>
        <v>5.9</v>
      </c>
      <c r="H58" s="155">
        <f>'Ward Selection'!H248</f>
        <v>5948</v>
      </c>
      <c r="I58" s="105">
        <f>'Ward Selection'!I248</f>
        <v>5.7</v>
      </c>
      <c r="J58" s="155">
        <f>'Ward Selection'!J248</f>
        <v>371</v>
      </c>
      <c r="K58" s="147">
        <f>'Ward Selection'!K248</f>
        <v>6.3</v>
      </c>
    </row>
    <row r="59" spans="1:11" s="5" customFormat="1" x14ac:dyDescent="0.2">
      <c r="A59" s="28"/>
      <c r="B59" s="91" t="s">
        <v>153</v>
      </c>
      <c r="C59" s="66"/>
      <c r="D59" s="155">
        <f>'Ward Selection'!D249</f>
        <v>2490199</v>
      </c>
      <c r="E59" s="105">
        <f>'Ward Selection'!E249</f>
        <v>9.9</v>
      </c>
      <c r="F59" s="155">
        <f>'Ward Selection'!F249</f>
        <v>245151</v>
      </c>
      <c r="G59" s="105">
        <f>'Ward Selection'!G249</f>
        <v>10.1</v>
      </c>
      <c r="H59" s="155">
        <f>'Ward Selection'!H249</f>
        <v>9397</v>
      </c>
      <c r="I59" s="105">
        <f>'Ward Selection'!I249</f>
        <v>9.1</v>
      </c>
      <c r="J59" s="155">
        <f>'Ward Selection'!J249</f>
        <v>778</v>
      </c>
      <c r="K59" s="147">
        <f>'Ward Selection'!K249</f>
        <v>13.3</v>
      </c>
    </row>
    <row r="60" spans="1:11" s="5" customFormat="1" x14ac:dyDescent="0.2">
      <c r="A60" s="28"/>
      <c r="B60" s="91" t="s">
        <v>154</v>
      </c>
      <c r="C60" s="66"/>
      <c r="D60" s="155">
        <f>'Ward Selection'!D250</f>
        <v>3121238</v>
      </c>
      <c r="E60" s="105">
        <f>'Ward Selection'!E250</f>
        <v>12.4</v>
      </c>
      <c r="F60" s="155">
        <f>'Ward Selection'!F250</f>
        <v>324227</v>
      </c>
      <c r="G60" s="105">
        <f>'Ward Selection'!G250</f>
        <v>13.4</v>
      </c>
      <c r="H60" s="155">
        <f>'Ward Selection'!H250</f>
        <v>14209</v>
      </c>
      <c r="I60" s="105">
        <f>'Ward Selection'!I250</f>
        <v>13.7</v>
      </c>
      <c r="J60" s="155">
        <f>'Ward Selection'!J250</f>
        <v>705</v>
      </c>
      <c r="K60" s="147">
        <f>'Ward Selection'!K250</f>
        <v>12</v>
      </c>
    </row>
    <row r="61" spans="1:11" s="5" customFormat="1" x14ac:dyDescent="0.2">
      <c r="A61" s="29"/>
      <c r="B61" s="92" t="s">
        <v>155</v>
      </c>
      <c r="C61" s="70"/>
      <c r="D61" s="158">
        <f>'Ward Selection'!D251</f>
        <v>1257385</v>
      </c>
      <c r="E61" s="106">
        <f>'Ward Selection'!E251</f>
        <v>5</v>
      </c>
      <c r="F61" s="158">
        <f>'Ward Selection'!F251</f>
        <v>107517</v>
      </c>
      <c r="G61" s="106">
        <f>'Ward Selection'!G251</f>
        <v>4.4000000000000004</v>
      </c>
      <c r="H61" s="158">
        <f>'Ward Selection'!H251</f>
        <v>4284</v>
      </c>
      <c r="I61" s="106">
        <f>'Ward Selection'!I251</f>
        <v>4.0999999999999996</v>
      </c>
      <c r="J61" s="158">
        <f>'Ward Selection'!J251</f>
        <v>276</v>
      </c>
      <c r="K61" s="148">
        <f>'Ward Selection'!K251</f>
        <v>4.7</v>
      </c>
    </row>
    <row r="62" spans="1:11" s="5" customFormat="1" x14ac:dyDescent="0.2">
      <c r="A62" s="180"/>
      <c r="B62" s="92"/>
      <c r="C62" s="70"/>
      <c r="D62" s="158"/>
      <c r="E62" s="181"/>
      <c r="F62" s="158"/>
      <c r="G62" s="182"/>
      <c r="H62" s="134"/>
      <c r="I62" s="181"/>
      <c r="J62" s="137"/>
      <c r="K62" s="73"/>
    </row>
    <row r="63" spans="1:11" s="5" customFormat="1" x14ac:dyDescent="0.2">
      <c r="A63" s="27" t="s">
        <v>345</v>
      </c>
      <c r="B63" s="93" t="s">
        <v>188</v>
      </c>
      <c r="C63" s="62"/>
      <c r="D63" s="156">
        <f>'Ward Selection'!D253</f>
        <v>38881374</v>
      </c>
      <c r="E63" s="63">
        <f>'Ward Selection'!E253</f>
        <v>100</v>
      </c>
      <c r="F63" s="156">
        <f>'Ward Selection'!F253</f>
        <v>3875219</v>
      </c>
      <c r="G63" s="63">
        <f>'Ward Selection'!G253</f>
        <v>100</v>
      </c>
      <c r="H63" s="156">
        <f>'Ward Selection'!H253</f>
        <v>170405</v>
      </c>
      <c r="I63" s="63">
        <f>'Ward Selection'!I253</f>
        <v>100</v>
      </c>
      <c r="J63" s="156">
        <f>'Ward Selection'!J253</f>
        <v>8422</v>
      </c>
      <c r="K63" s="146">
        <f>'Ward Selection'!K253</f>
        <v>100</v>
      </c>
    </row>
    <row r="64" spans="1:11" s="5" customFormat="1" ht="25.5" x14ac:dyDescent="0.2">
      <c r="A64" s="28"/>
      <c r="B64" s="91" t="s">
        <v>189</v>
      </c>
      <c r="C64" s="66"/>
      <c r="D64" s="155">
        <f>'Ward Selection'!D254</f>
        <v>4045823</v>
      </c>
      <c r="E64" s="105">
        <f>'Ward Selection'!E254</f>
        <v>10.4</v>
      </c>
      <c r="F64" s="155">
        <f>'Ward Selection'!F254</f>
        <v>329084</v>
      </c>
      <c r="G64" s="105">
        <f>'Ward Selection'!G254</f>
        <v>8.5</v>
      </c>
      <c r="H64" s="155">
        <f>'Ward Selection'!H254</f>
        <v>10550</v>
      </c>
      <c r="I64" s="105">
        <f>'Ward Selection'!I254</f>
        <v>6.2</v>
      </c>
      <c r="J64" s="155">
        <f>'Ward Selection'!J254</f>
        <v>988</v>
      </c>
      <c r="K64" s="147">
        <f>'Ward Selection'!K254</f>
        <v>11.7</v>
      </c>
    </row>
    <row r="65" spans="1:11" s="5" customFormat="1" ht="25.5" x14ac:dyDescent="0.2">
      <c r="A65" s="28"/>
      <c r="B65" s="91" t="s">
        <v>190</v>
      </c>
      <c r="C65" s="66"/>
      <c r="D65" s="155">
        <f>'Ward Selection'!D255</f>
        <v>926352</v>
      </c>
      <c r="E65" s="105">
        <f>'Ward Selection'!E255</f>
        <v>2.4</v>
      </c>
      <c r="F65" s="155">
        <f>'Ward Selection'!F255</f>
        <v>81347</v>
      </c>
      <c r="G65" s="105">
        <f>'Ward Selection'!G255</f>
        <v>2.1</v>
      </c>
      <c r="H65" s="155">
        <f>'Ward Selection'!H255</f>
        <v>3178</v>
      </c>
      <c r="I65" s="105">
        <f>'Ward Selection'!I255</f>
        <v>1.9</v>
      </c>
      <c r="J65" s="155">
        <f>'Ward Selection'!J255</f>
        <v>273</v>
      </c>
      <c r="K65" s="147">
        <f>'Ward Selection'!K255</f>
        <v>3.2</v>
      </c>
    </row>
    <row r="66" spans="1:11" s="5" customFormat="1" x14ac:dyDescent="0.2">
      <c r="A66" s="28"/>
      <c r="B66" s="91" t="s">
        <v>191</v>
      </c>
      <c r="C66" s="66"/>
      <c r="D66" s="155">
        <f>'Ward Selection'!D256</f>
        <v>3119471</v>
      </c>
      <c r="E66" s="105">
        <f>'Ward Selection'!E256</f>
        <v>8</v>
      </c>
      <c r="F66" s="155">
        <f>'Ward Selection'!F256</f>
        <v>247737</v>
      </c>
      <c r="G66" s="105">
        <f>'Ward Selection'!G256</f>
        <v>6.4</v>
      </c>
      <c r="H66" s="155">
        <f>'Ward Selection'!H256</f>
        <v>7372</v>
      </c>
      <c r="I66" s="105">
        <f>'Ward Selection'!I256</f>
        <v>4.3</v>
      </c>
      <c r="J66" s="155">
        <f>'Ward Selection'!J256</f>
        <v>715</v>
      </c>
      <c r="K66" s="147">
        <f>'Ward Selection'!K256</f>
        <v>8.5</v>
      </c>
    </row>
    <row r="67" spans="1:11" s="5" customFormat="1" ht="25.5" x14ac:dyDescent="0.2">
      <c r="A67" s="28"/>
      <c r="B67" s="91" t="s">
        <v>192</v>
      </c>
      <c r="C67" s="66"/>
      <c r="D67" s="155">
        <f>'Ward Selection'!D257</f>
        <v>8132107</v>
      </c>
      <c r="E67" s="105">
        <f>'Ward Selection'!E257</f>
        <v>20.9</v>
      </c>
      <c r="F67" s="155">
        <f>'Ward Selection'!F257</f>
        <v>730033</v>
      </c>
      <c r="G67" s="105">
        <f>'Ward Selection'!G257</f>
        <v>18.8</v>
      </c>
      <c r="H67" s="155">
        <f>'Ward Selection'!H257</f>
        <v>29139</v>
      </c>
      <c r="I67" s="105">
        <f>'Ward Selection'!I257</f>
        <v>17.100000000000001</v>
      </c>
      <c r="J67" s="155">
        <f>'Ward Selection'!J257</f>
        <v>2055</v>
      </c>
      <c r="K67" s="147">
        <f>'Ward Selection'!K257</f>
        <v>24.4</v>
      </c>
    </row>
    <row r="68" spans="1:11" s="5" customFormat="1" x14ac:dyDescent="0.2">
      <c r="A68" s="28"/>
      <c r="B68" s="91" t="s">
        <v>193</v>
      </c>
      <c r="C68" s="66"/>
      <c r="D68" s="155">
        <f>'Ward Selection'!D258</f>
        <v>4972044</v>
      </c>
      <c r="E68" s="105">
        <f>'Ward Selection'!E258</f>
        <v>12.8</v>
      </c>
      <c r="F68" s="155">
        <f>'Ward Selection'!F258</f>
        <v>472161</v>
      </c>
      <c r="G68" s="105">
        <f>'Ward Selection'!G258</f>
        <v>12.2</v>
      </c>
      <c r="H68" s="155">
        <f>'Ward Selection'!H258</f>
        <v>20618</v>
      </c>
      <c r="I68" s="105">
        <f>'Ward Selection'!I258</f>
        <v>12.1</v>
      </c>
      <c r="J68" s="155">
        <f>'Ward Selection'!J258</f>
        <v>1062</v>
      </c>
      <c r="K68" s="147">
        <f>'Ward Selection'!K258</f>
        <v>12.6</v>
      </c>
    </row>
    <row r="69" spans="1:11" s="5" customFormat="1" x14ac:dyDescent="0.2">
      <c r="A69" s="28"/>
      <c r="B69" s="91" t="s">
        <v>194</v>
      </c>
      <c r="C69" s="66"/>
      <c r="D69" s="155">
        <f>'Ward Selection'!D259</f>
        <v>3662611</v>
      </c>
      <c r="E69" s="105">
        <f>'Ward Selection'!E259</f>
        <v>9.4</v>
      </c>
      <c r="F69" s="155">
        <f>'Ward Selection'!F259</f>
        <v>339876</v>
      </c>
      <c r="G69" s="105">
        <f>'Ward Selection'!G259</f>
        <v>8.8000000000000007</v>
      </c>
      <c r="H69" s="155">
        <f>'Ward Selection'!H259</f>
        <v>14880</v>
      </c>
      <c r="I69" s="105">
        <f>'Ward Selection'!I259</f>
        <v>8.6999999999999993</v>
      </c>
      <c r="J69" s="155">
        <f>'Ward Selection'!J259</f>
        <v>911</v>
      </c>
      <c r="K69" s="147">
        <f>'Ward Selection'!K259</f>
        <v>10.8</v>
      </c>
    </row>
    <row r="70" spans="1:11" s="5" customFormat="1" ht="25.5" x14ac:dyDescent="0.2">
      <c r="A70" s="28"/>
      <c r="B70" s="91" t="s">
        <v>195</v>
      </c>
      <c r="C70" s="66"/>
      <c r="D70" s="155">
        <f>'Ward Selection'!D260</f>
        <v>2676118</v>
      </c>
      <c r="E70" s="105">
        <f>'Ward Selection'!E260</f>
        <v>6.9</v>
      </c>
      <c r="F70" s="155">
        <f>'Ward Selection'!F260</f>
        <v>293094</v>
      </c>
      <c r="G70" s="105">
        <f>'Ward Selection'!G260</f>
        <v>7.6</v>
      </c>
      <c r="H70" s="155">
        <f>'Ward Selection'!H260</f>
        <v>14659</v>
      </c>
      <c r="I70" s="105">
        <f>'Ward Selection'!I260</f>
        <v>8.6</v>
      </c>
      <c r="J70" s="155">
        <f>'Ward Selection'!J260</f>
        <v>580</v>
      </c>
      <c r="K70" s="147">
        <f>'Ward Selection'!K260</f>
        <v>6.9</v>
      </c>
    </row>
    <row r="71" spans="1:11" s="5" customFormat="1" x14ac:dyDescent="0.2">
      <c r="A71" s="28"/>
      <c r="B71" s="91" t="s">
        <v>196</v>
      </c>
      <c r="C71" s="66"/>
      <c r="D71" s="155">
        <f>'Ward Selection'!D261</f>
        <v>5430863</v>
      </c>
      <c r="E71" s="105">
        <f>'Ward Selection'!E261</f>
        <v>14</v>
      </c>
      <c r="F71" s="155">
        <f>'Ward Selection'!F261</f>
        <v>591628</v>
      </c>
      <c r="G71" s="105">
        <f>'Ward Selection'!G261</f>
        <v>15.3</v>
      </c>
      <c r="H71" s="155">
        <f>'Ward Selection'!H261</f>
        <v>29435</v>
      </c>
      <c r="I71" s="105">
        <f>'Ward Selection'!I261</f>
        <v>17.3</v>
      </c>
      <c r="J71" s="155">
        <f>'Ward Selection'!J261</f>
        <v>1118</v>
      </c>
      <c r="K71" s="147">
        <f>'Ward Selection'!K261</f>
        <v>13.3</v>
      </c>
    </row>
    <row r="72" spans="1:11" s="5" customFormat="1" x14ac:dyDescent="0.2">
      <c r="A72" s="28"/>
      <c r="B72" s="91" t="s">
        <v>197</v>
      </c>
      <c r="C72" s="66"/>
      <c r="D72" s="155">
        <f>'Ward Selection'!D262</f>
        <v>4277483</v>
      </c>
      <c r="E72" s="105">
        <f>'Ward Selection'!E262</f>
        <v>11</v>
      </c>
      <c r="F72" s="155">
        <f>'Ward Selection'!F262</f>
        <v>516359</v>
      </c>
      <c r="G72" s="105">
        <f>'Ward Selection'!G262</f>
        <v>13.3</v>
      </c>
      <c r="H72" s="155">
        <f>'Ward Selection'!H262</f>
        <v>30588</v>
      </c>
      <c r="I72" s="105">
        <f>'Ward Selection'!I262</f>
        <v>18</v>
      </c>
      <c r="J72" s="155">
        <f>'Ward Selection'!J262</f>
        <v>1011</v>
      </c>
      <c r="K72" s="147">
        <f>'Ward Selection'!K262</f>
        <v>12</v>
      </c>
    </row>
    <row r="73" spans="1:11" s="5" customFormat="1" x14ac:dyDescent="0.2">
      <c r="A73" s="28"/>
      <c r="B73" s="91" t="s">
        <v>198</v>
      </c>
      <c r="C73" s="66"/>
      <c r="D73" s="155">
        <f>'Ward Selection'!D263</f>
        <v>2180026</v>
      </c>
      <c r="E73" s="105">
        <f>'Ward Selection'!E263</f>
        <v>5.6</v>
      </c>
      <c r="F73" s="155">
        <f>'Ward Selection'!F263</f>
        <v>244917</v>
      </c>
      <c r="G73" s="105">
        <f>'Ward Selection'!G263</f>
        <v>6.3</v>
      </c>
      <c r="H73" s="155">
        <f>'Ward Selection'!H263</f>
        <v>10725</v>
      </c>
      <c r="I73" s="105">
        <f>'Ward Selection'!I263</f>
        <v>6.3</v>
      </c>
      <c r="J73" s="155">
        <f>'Ward Selection'!J263</f>
        <v>224</v>
      </c>
      <c r="K73" s="147">
        <f>'Ward Selection'!K263</f>
        <v>2.7</v>
      </c>
    </row>
    <row r="74" spans="1:11" s="5" customFormat="1" x14ac:dyDescent="0.2">
      <c r="A74" s="28"/>
      <c r="B74" s="91" t="s">
        <v>199</v>
      </c>
      <c r="C74" s="66"/>
      <c r="D74" s="155">
        <f>'Ward Selection'!D264</f>
        <v>1511530</v>
      </c>
      <c r="E74" s="105">
        <f>'Ward Selection'!E264</f>
        <v>3.9</v>
      </c>
      <c r="F74" s="155">
        <f>'Ward Selection'!F264</f>
        <v>169804</v>
      </c>
      <c r="G74" s="105">
        <f>'Ward Selection'!G264</f>
        <v>4.4000000000000004</v>
      </c>
      <c r="H74" s="155">
        <f>'Ward Selection'!H264</f>
        <v>7148</v>
      </c>
      <c r="I74" s="105">
        <f>'Ward Selection'!I264</f>
        <v>4.2</v>
      </c>
      <c r="J74" s="155">
        <f>'Ward Selection'!J264</f>
        <v>126</v>
      </c>
      <c r="K74" s="147">
        <f>'Ward Selection'!K264</f>
        <v>1.5</v>
      </c>
    </row>
    <row r="75" spans="1:11" s="5" customFormat="1" x14ac:dyDescent="0.2">
      <c r="A75" s="28"/>
      <c r="B75" s="91" t="s">
        <v>200</v>
      </c>
      <c r="C75" s="66"/>
      <c r="D75" s="155">
        <f>'Ward Selection'!D265</f>
        <v>668496</v>
      </c>
      <c r="E75" s="105">
        <f>'Ward Selection'!E265</f>
        <v>1.7</v>
      </c>
      <c r="F75" s="155">
        <f>'Ward Selection'!F265</f>
        <v>75113</v>
      </c>
      <c r="G75" s="105">
        <f>'Ward Selection'!G265</f>
        <v>1.9</v>
      </c>
      <c r="H75" s="155">
        <f>'Ward Selection'!H265</f>
        <v>3577</v>
      </c>
      <c r="I75" s="105">
        <f>'Ward Selection'!I265</f>
        <v>2.1</v>
      </c>
      <c r="J75" s="155">
        <f>'Ward Selection'!J265</f>
        <v>98</v>
      </c>
      <c r="K75" s="147">
        <f>'Ward Selection'!K265</f>
        <v>1.2</v>
      </c>
    </row>
    <row r="76" spans="1:11" s="5" customFormat="1" x14ac:dyDescent="0.2">
      <c r="A76" s="28"/>
      <c r="B76" s="91" t="s">
        <v>201</v>
      </c>
      <c r="C76" s="66"/>
      <c r="D76" s="155">
        <f>'Ward Selection'!D266</f>
        <v>3504299</v>
      </c>
      <c r="E76" s="105">
        <f>'Ward Selection'!E266</f>
        <v>9</v>
      </c>
      <c r="F76" s="155">
        <f>'Ward Selection'!F266</f>
        <v>358067</v>
      </c>
      <c r="G76" s="105">
        <f>'Ward Selection'!G266</f>
        <v>9.1999999999999993</v>
      </c>
      <c r="H76" s="155">
        <f>'Ward Selection'!H266</f>
        <v>9811</v>
      </c>
      <c r="I76" s="105">
        <f>'Ward Selection'!I266</f>
        <v>5.8</v>
      </c>
      <c r="J76" s="155">
        <f>'Ward Selection'!J266</f>
        <v>473</v>
      </c>
      <c r="K76" s="147">
        <f>'Ward Selection'!K266</f>
        <v>5.6</v>
      </c>
    </row>
    <row r="77" spans="1:11" s="5" customFormat="1" x14ac:dyDescent="0.2">
      <c r="A77" s="28"/>
      <c r="B77" s="91" t="s">
        <v>202</v>
      </c>
      <c r="C77" s="66"/>
      <c r="D77" s="155">
        <f>'Ward Selection'!D267</f>
        <v>3504299</v>
      </c>
      <c r="E77" s="105">
        <f>'Ward Selection'!E267</f>
        <v>9</v>
      </c>
      <c r="F77" s="155">
        <f>'Ward Selection'!F267</f>
        <v>358067</v>
      </c>
      <c r="G77" s="105">
        <f>'Ward Selection'!G267</f>
        <v>9.1999999999999993</v>
      </c>
      <c r="H77" s="155">
        <f>'Ward Selection'!H267</f>
        <v>9811</v>
      </c>
      <c r="I77" s="105">
        <f>'Ward Selection'!I267</f>
        <v>5.8</v>
      </c>
      <c r="J77" s="155">
        <f>'Ward Selection'!J267</f>
        <v>473</v>
      </c>
      <c r="K77" s="147">
        <f>'Ward Selection'!K267</f>
        <v>5.6</v>
      </c>
    </row>
    <row r="78" spans="1:11" s="5" customFormat="1" x14ac:dyDescent="0.2">
      <c r="A78" s="29"/>
      <c r="B78" s="92" t="s">
        <v>203</v>
      </c>
      <c r="C78" s="70"/>
      <c r="D78" s="158">
        <f>'Ward Selection'!D268</f>
        <v>0</v>
      </c>
      <c r="E78" s="106">
        <f>'Ward Selection'!E268</f>
        <v>0</v>
      </c>
      <c r="F78" s="158">
        <f>'Ward Selection'!F268</f>
        <v>0</v>
      </c>
      <c r="G78" s="106">
        <f>'Ward Selection'!G268</f>
        <v>0</v>
      </c>
      <c r="H78" s="158">
        <f>'Ward Selection'!H268</f>
        <v>0</v>
      </c>
      <c r="I78" s="106">
        <f>'Ward Selection'!I268</f>
        <v>0</v>
      </c>
      <c r="J78" s="158">
        <f>'Ward Selection'!J268</f>
        <v>0</v>
      </c>
      <c r="K78" s="148">
        <f>'Ward Selection'!K268</f>
        <v>0</v>
      </c>
    </row>
    <row r="79" spans="1:11" s="5" customFormat="1" x14ac:dyDescent="0.2">
      <c r="A79" s="180"/>
      <c r="B79" s="92"/>
      <c r="C79" s="70"/>
      <c r="D79" s="158"/>
      <c r="E79" s="181"/>
      <c r="F79" s="158"/>
      <c r="G79" s="182"/>
      <c r="H79" s="134"/>
      <c r="I79" s="181"/>
      <c r="J79" s="137"/>
      <c r="K79" s="73"/>
    </row>
    <row r="80" spans="1:11" s="5" customFormat="1" x14ac:dyDescent="0.2">
      <c r="A80" s="27" t="s">
        <v>240</v>
      </c>
      <c r="B80" s="93" t="s">
        <v>204</v>
      </c>
      <c r="C80" s="62"/>
      <c r="D80" s="156">
        <f>'Ward Selection'!D270</f>
        <v>25162721</v>
      </c>
      <c r="E80" s="63">
        <f>'Ward Selection'!E270</f>
        <v>100</v>
      </c>
      <c r="F80" s="156">
        <f>'Ward Selection'!F270</f>
        <v>2428074</v>
      </c>
      <c r="G80" s="63">
        <f>'Ward Selection'!G270</f>
        <v>100</v>
      </c>
      <c r="H80" s="156">
        <f>'Ward Selection'!H270</f>
        <v>103579</v>
      </c>
      <c r="I80" s="63">
        <f>'Ward Selection'!I270</f>
        <v>100</v>
      </c>
      <c r="J80" s="156">
        <f>'Ward Selection'!J270</f>
        <v>5860</v>
      </c>
      <c r="K80" s="146">
        <f>'Ward Selection'!K270</f>
        <v>100</v>
      </c>
    </row>
    <row r="81" spans="1:11" s="5" customFormat="1" x14ac:dyDescent="0.2">
      <c r="A81" s="28"/>
      <c r="B81" s="91" t="s">
        <v>205</v>
      </c>
      <c r="C81" s="66"/>
      <c r="D81" s="155">
        <f>'Ward Selection'!D271</f>
        <v>2734900</v>
      </c>
      <c r="E81" s="105">
        <f>'Ward Selection'!E271</f>
        <v>10.9</v>
      </c>
      <c r="F81" s="155">
        <f>'Ward Selection'!F271</f>
        <v>240292</v>
      </c>
      <c r="G81" s="105">
        <f>'Ward Selection'!G271</f>
        <v>9.9</v>
      </c>
      <c r="H81" s="155">
        <f>'Ward Selection'!H271</f>
        <v>9372</v>
      </c>
      <c r="I81" s="105">
        <f>'Ward Selection'!I271</f>
        <v>9</v>
      </c>
      <c r="J81" s="155">
        <f>'Ward Selection'!J271</f>
        <v>722</v>
      </c>
      <c r="K81" s="147">
        <f>'Ward Selection'!K271</f>
        <v>12.3</v>
      </c>
    </row>
    <row r="82" spans="1:11" s="5" customFormat="1" x14ac:dyDescent="0.2">
      <c r="A82" s="28"/>
      <c r="B82" s="91" t="s">
        <v>206</v>
      </c>
      <c r="C82" s="66"/>
      <c r="D82" s="155">
        <f>'Ward Selection'!D272</f>
        <v>4400375</v>
      </c>
      <c r="E82" s="105">
        <f>'Ward Selection'!E272</f>
        <v>17.5</v>
      </c>
      <c r="F82" s="155">
        <f>'Ward Selection'!F272</f>
        <v>374316</v>
      </c>
      <c r="G82" s="105">
        <f>'Ward Selection'!G272</f>
        <v>15.4</v>
      </c>
      <c r="H82" s="155">
        <f>'Ward Selection'!H272</f>
        <v>12836</v>
      </c>
      <c r="I82" s="105">
        <f>'Ward Selection'!I272</f>
        <v>12.4</v>
      </c>
      <c r="J82" s="155">
        <f>'Ward Selection'!J272</f>
        <v>1145</v>
      </c>
      <c r="K82" s="147">
        <f>'Ward Selection'!K272</f>
        <v>19.5</v>
      </c>
    </row>
    <row r="83" spans="1:11" s="5" customFormat="1" ht="25.5" x14ac:dyDescent="0.2">
      <c r="A83" s="28"/>
      <c r="B83" s="91" t="s">
        <v>207</v>
      </c>
      <c r="C83" s="66"/>
      <c r="D83" s="155">
        <f>'Ward Selection'!D273</f>
        <v>3219067</v>
      </c>
      <c r="E83" s="105">
        <f>'Ward Selection'!E273</f>
        <v>12.8</v>
      </c>
      <c r="F83" s="155">
        <f>'Ward Selection'!F273</f>
        <v>277852</v>
      </c>
      <c r="G83" s="105">
        <f>'Ward Selection'!G273</f>
        <v>11.4</v>
      </c>
      <c r="H83" s="155">
        <f>'Ward Selection'!H273</f>
        <v>10260</v>
      </c>
      <c r="I83" s="105">
        <f>'Ward Selection'!I273</f>
        <v>9.9</v>
      </c>
      <c r="J83" s="155">
        <f>'Ward Selection'!J273</f>
        <v>758</v>
      </c>
      <c r="K83" s="147">
        <f>'Ward Selection'!K273</f>
        <v>12.9</v>
      </c>
    </row>
    <row r="84" spans="1:11" s="5" customFormat="1" x14ac:dyDescent="0.2">
      <c r="A84" s="28"/>
      <c r="B84" s="91" t="s">
        <v>208</v>
      </c>
      <c r="C84" s="66"/>
      <c r="D84" s="155">
        <f>'Ward Selection'!D274</f>
        <v>2883230</v>
      </c>
      <c r="E84" s="105">
        <f>'Ward Selection'!E274</f>
        <v>11.5</v>
      </c>
      <c r="F84" s="155">
        <f>'Ward Selection'!F274</f>
        <v>265208</v>
      </c>
      <c r="G84" s="105">
        <f>'Ward Selection'!G274</f>
        <v>10.9</v>
      </c>
      <c r="H84" s="155">
        <f>'Ward Selection'!H274</f>
        <v>10450</v>
      </c>
      <c r="I84" s="105">
        <f>'Ward Selection'!I274</f>
        <v>10.1</v>
      </c>
      <c r="J84" s="155">
        <f>'Ward Selection'!J274</f>
        <v>622</v>
      </c>
      <c r="K84" s="147">
        <f>'Ward Selection'!K274</f>
        <v>10.6</v>
      </c>
    </row>
    <row r="85" spans="1:11" s="5" customFormat="1" x14ac:dyDescent="0.2">
      <c r="A85" s="28"/>
      <c r="B85" s="91" t="s">
        <v>209</v>
      </c>
      <c r="C85" s="66"/>
      <c r="D85" s="155">
        <f>'Ward Selection'!D275</f>
        <v>2858680</v>
      </c>
      <c r="E85" s="105">
        <f>'Ward Selection'!E275</f>
        <v>11.4</v>
      </c>
      <c r="F85" s="155">
        <f>'Ward Selection'!F275</f>
        <v>298008</v>
      </c>
      <c r="G85" s="105">
        <f>'Ward Selection'!G275</f>
        <v>12.3</v>
      </c>
      <c r="H85" s="155">
        <f>'Ward Selection'!H275</f>
        <v>14242</v>
      </c>
      <c r="I85" s="105">
        <f>'Ward Selection'!I275</f>
        <v>13.7</v>
      </c>
      <c r="J85" s="155">
        <f>'Ward Selection'!J275</f>
        <v>746</v>
      </c>
      <c r="K85" s="147">
        <f>'Ward Selection'!K275</f>
        <v>12.7</v>
      </c>
    </row>
    <row r="86" spans="1:11" s="5" customFormat="1" ht="25.5" x14ac:dyDescent="0.2">
      <c r="A86" s="28"/>
      <c r="B86" s="91" t="s">
        <v>210</v>
      </c>
      <c r="C86" s="66"/>
      <c r="D86" s="155">
        <f>'Ward Selection'!D276</f>
        <v>2348650</v>
      </c>
      <c r="E86" s="105">
        <f>'Ward Selection'!E276</f>
        <v>9.3000000000000007</v>
      </c>
      <c r="F86" s="155">
        <f>'Ward Selection'!F276</f>
        <v>234333</v>
      </c>
      <c r="G86" s="105">
        <f>'Ward Selection'!G276</f>
        <v>9.6999999999999993</v>
      </c>
      <c r="H86" s="155">
        <f>'Ward Selection'!H276</f>
        <v>10781</v>
      </c>
      <c r="I86" s="105">
        <f>'Ward Selection'!I276</f>
        <v>10.4</v>
      </c>
      <c r="J86" s="155">
        <f>'Ward Selection'!J276</f>
        <v>457</v>
      </c>
      <c r="K86" s="147">
        <f>'Ward Selection'!K276</f>
        <v>7.8</v>
      </c>
    </row>
    <row r="87" spans="1:11" s="5" customFormat="1" x14ac:dyDescent="0.2">
      <c r="A87" s="28"/>
      <c r="B87" s="91" t="s">
        <v>211</v>
      </c>
      <c r="C87" s="66"/>
      <c r="D87" s="155">
        <f>'Ward Selection'!D277</f>
        <v>2117477</v>
      </c>
      <c r="E87" s="105">
        <f>'Ward Selection'!E277</f>
        <v>8.4</v>
      </c>
      <c r="F87" s="155">
        <f>'Ward Selection'!F277</f>
        <v>220859</v>
      </c>
      <c r="G87" s="105">
        <f>'Ward Selection'!G277</f>
        <v>9.1</v>
      </c>
      <c r="H87" s="155">
        <f>'Ward Selection'!H277</f>
        <v>10870</v>
      </c>
      <c r="I87" s="105">
        <f>'Ward Selection'!I277</f>
        <v>10.5</v>
      </c>
      <c r="J87" s="155">
        <f>'Ward Selection'!J277</f>
        <v>412</v>
      </c>
      <c r="K87" s="147">
        <f>'Ward Selection'!K277</f>
        <v>7</v>
      </c>
    </row>
    <row r="88" spans="1:11" s="5" customFormat="1" x14ac:dyDescent="0.2">
      <c r="A88" s="28"/>
      <c r="B88" s="91" t="s">
        <v>212</v>
      </c>
      <c r="C88" s="66"/>
      <c r="D88" s="155">
        <f>'Ward Selection'!D278</f>
        <v>1808024</v>
      </c>
      <c r="E88" s="105">
        <f>'Ward Selection'!E278</f>
        <v>7.2</v>
      </c>
      <c r="F88" s="155">
        <f>'Ward Selection'!F278</f>
        <v>214439</v>
      </c>
      <c r="G88" s="105">
        <f>'Ward Selection'!G278</f>
        <v>8.8000000000000007</v>
      </c>
      <c r="H88" s="155">
        <f>'Ward Selection'!H278</f>
        <v>11291</v>
      </c>
      <c r="I88" s="105">
        <f>'Ward Selection'!I278</f>
        <v>10.9</v>
      </c>
      <c r="J88" s="155">
        <f>'Ward Selection'!J278</f>
        <v>429</v>
      </c>
      <c r="K88" s="147">
        <f>'Ward Selection'!K278</f>
        <v>7.3</v>
      </c>
    </row>
    <row r="89" spans="1:11" s="5" customFormat="1" x14ac:dyDescent="0.2">
      <c r="A89" s="29"/>
      <c r="B89" s="92" t="s">
        <v>213</v>
      </c>
      <c r="C89" s="70"/>
      <c r="D89" s="158">
        <f>'Ward Selection'!D279</f>
        <v>2792318</v>
      </c>
      <c r="E89" s="106">
        <f>'Ward Selection'!E279</f>
        <v>11.1</v>
      </c>
      <c r="F89" s="158">
        <f>'Ward Selection'!F279</f>
        <v>302767</v>
      </c>
      <c r="G89" s="106">
        <f>'Ward Selection'!G279</f>
        <v>12.5</v>
      </c>
      <c r="H89" s="158">
        <f>'Ward Selection'!H279</f>
        <v>13477</v>
      </c>
      <c r="I89" s="106">
        <f>'Ward Selection'!I279</f>
        <v>13</v>
      </c>
      <c r="J89" s="158">
        <f>'Ward Selection'!J279</f>
        <v>569</v>
      </c>
      <c r="K89" s="148">
        <f>'Ward Selection'!K279</f>
        <v>9.6999999999999993</v>
      </c>
    </row>
    <row r="90" spans="1:11" s="5" customFormat="1" x14ac:dyDescent="0.2">
      <c r="A90" s="180"/>
      <c r="B90" s="153"/>
      <c r="C90" s="70"/>
      <c r="D90" s="158"/>
      <c r="E90" s="181"/>
      <c r="F90" s="158"/>
      <c r="G90" s="182"/>
      <c r="H90" s="134"/>
      <c r="I90" s="181"/>
      <c r="J90" s="137"/>
      <c r="K90" s="73"/>
    </row>
    <row r="91" spans="1:11" s="5" customFormat="1" x14ac:dyDescent="0.2">
      <c r="A91" s="27" t="s">
        <v>362</v>
      </c>
      <c r="B91" s="93" t="s">
        <v>361</v>
      </c>
      <c r="C91" s="62"/>
      <c r="D91" s="156">
        <f>'Ward Selection'!D281</f>
        <v>22063368</v>
      </c>
      <c r="E91" s="63">
        <f>'Ward Selection'!E281</f>
        <v>100</v>
      </c>
      <c r="F91" s="156">
        <f>'Ward Selection'!F281</f>
        <v>2224059</v>
      </c>
      <c r="G91" s="63">
        <f>'Ward Selection'!G281</f>
        <v>100</v>
      </c>
      <c r="H91" s="156">
        <f>'Ward Selection'!H281</f>
        <v>100734</v>
      </c>
      <c r="I91" s="63">
        <f>'Ward Selection'!I281</f>
        <v>100</v>
      </c>
      <c r="J91" s="156">
        <f>'Ward Selection'!J281</f>
        <v>4878</v>
      </c>
      <c r="K91" s="146">
        <f>'Ward Selection'!K281</f>
        <v>100</v>
      </c>
    </row>
    <row r="92" spans="1:11" s="5" customFormat="1" x14ac:dyDescent="0.2">
      <c r="A92" s="28" t="s">
        <v>363</v>
      </c>
      <c r="B92" s="91" t="s">
        <v>4</v>
      </c>
      <c r="C92" s="66"/>
      <c r="D92" s="155">
        <f>'Ward Selection'!D282</f>
        <v>7348649</v>
      </c>
      <c r="E92" s="105">
        <f>'Ward Selection'!E282</f>
        <v>33.299999999999997</v>
      </c>
      <c r="F92" s="155">
        <f>'Ward Selection'!F282</f>
        <v>788895</v>
      </c>
      <c r="G92" s="105">
        <f>'Ward Selection'!G282</f>
        <v>35.5</v>
      </c>
      <c r="H92" s="155">
        <f>'Ward Selection'!H282</f>
        <v>38675</v>
      </c>
      <c r="I92" s="105">
        <f>'Ward Selection'!I282</f>
        <v>38.4</v>
      </c>
      <c r="J92" s="155">
        <f>'Ward Selection'!J282</f>
        <v>1516</v>
      </c>
      <c r="K92" s="147">
        <f>'Ward Selection'!K282</f>
        <v>31.1</v>
      </c>
    </row>
    <row r="93" spans="1:11" s="5" customFormat="1" ht="25.5" x14ac:dyDescent="0.2">
      <c r="A93" s="28"/>
      <c r="B93" s="91" t="s">
        <v>5</v>
      </c>
      <c r="C93" s="66"/>
      <c r="D93" s="155">
        <f>'Ward Selection'!D283</f>
        <v>922192</v>
      </c>
      <c r="E93" s="105">
        <f>'Ward Selection'!E283</f>
        <v>4.2</v>
      </c>
      <c r="F93" s="155">
        <f>'Ward Selection'!F283</f>
        <v>97434</v>
      </c>
      <c r="G93" s="105">
        <f>'Ward Selection'!G283</f>
        <v>4.4000000000000004</v>
      </c>
      <c r="H93" s="155">
        <f>'Ward Selection'!H283</f>
        <v>5303</v>
      </c>
      <c r="I93" s="105">
        <f>'Ward Selection'!I283</f>
        <v>5.3</v>
      </c>
      <c r="J93" s="155">
        <f>'Ward Selection'!J283</f>
        <v>102</v>
      </c>
      <c r="K93" s="147">
        <f>'Ward Selection'!K283</f>
        <v>2.1</v>
      </c>
    </row>
    <row r="94" spans="1:11" s="5" customFormat="1" ht="25.5" x14ac:dyDescent="0.2">
      <c r="A94" s="28"/>
      <c r="B94" s="91" t="s">
        <v>6</v>
      </c>
      <c r="C94" s="66"/>
      <c r="D94" s="155">
        <f>'Ward Selection'!D284</f>
        <v>6426457</v>
      </c>
      <c r="E94" s="105">
        <f>'Ward Selection'!E284</f>
        <v>29.1</v>
      </c>
      <c r="F94" s="155">
        <f>'Ward Selection'!F284</f>
        <v>691461</v>
      </c>
      <c r="G94" s="105">
        <f>'Ward Selection'!G284</f>
        <v>31.1</v>
      </c>
      <c r="H94" s="155">
        <f>'Ward Selection'!H284</f>
        <v>33372</v>
      </c>
      <c r="I94" s="105">
        <f>'Ward Selection'!I284</f>
        <v>33.1</v>
      </c>
      <c r="J94" s="155">
        <f>'Ward Selection'!J284</f>
        <v>1414</v>
      </c>
      <c r="K94" s="147">
        <f>'Ward Selection'!K284</f>
        <v>29</v>
      </c>
    </row>
    <row r="95" spans="1:11" s="5" customFormat="1" x14ac:dyDescent="0.2">
      <c r="A95" s="28"/>
      <c r="B95" s="91" t="s">
        <v>7</v>
      </c>
      <c r="C95" s="66"/>
      <c r="D95" s="155">
        <f>'Ward Selection'!D285</f>
        <v>6425647</v>
      </c>
      <c r="E95" s="105">
        <f>'Ward Selection'!E285</f>
        <v>29.1</v>
      </c>
      <c r="F95" s="155">
        <f>'Ward Selection'!F285</f>
        <v>639616</v>
      </c>
      <c r="G95" s="105">
        <f>'Ward Selection'!G285</f>
        <v>28.8</v>
      </c>
      <c r="H95" s="155">
        <f>'Ward Selection'!H285</f>
        <v>29335</v>
      </c>
      <c r="I95" s="105">
        <f>'Ward Selection'!I285</f>
        <v>29.1</v>
      </c>
      <c r="J95" s="155">
        <f>'Ward Selection'!J285</f>
        <v>1424</v>
      </c>
      <c r="K95" s="147">
        <f>'Ward Selection'!K285</f>
        <v>29.2</v>
      </c>
    </row>
    <row r="96" spans="1:11" s="5" customFormat="1" x14ac:dyDescent="0.2">
      <c r="A96" s="28"/>
      <c r="B96" s="91" t="s">
        <v>8</v>
      </c>
      <c r="C96" s="66"/>
      <c r="D96" s="155">
        <f>'Ward Selection'!D286</f>
        <v>2606564</v>
      </c>
      <c r="E96" s="105">
        <f>'Ward Selection'!E286</f>
        <v>11.8</v>
      </c>
      <c r="F96" s="155">
        <f>'Ward Selection'!F286</f>
        <v>258036</v>
      </c>
      <c r="G96" s="105">
        <f>'Ward Selection'!G286</f>
        <v>11.6</v>
      </c>
      <c r="H96" s="155">
        <f>'Ward Selection'!H286</f>
        <v>11191</v>
      </c>
      <c r="I96" s="105">
        <f>'Ward Selection'!I286</f>
        <v>11.1</v>
      </c>
      <c r="J96" s="155">
        <f>'Ward Selection'!J286</f>
        <v>510</v>
      </c>
      <c r="K96" s="147">
        <f>'Ward Selection'!K286</f>
        <v>10.5</v>
      </c>
    </row>
    <row r="97" spans="1:11" s="5" customFormat="1" ht="25.5" x14ac:dyDescent="0.2">
      <c r="A97" s="28"/>
      <c r="B97" s="91" t="s">
        <v>9</v>
      </c>
      <c r="C97" s="66"/>
      <c r="D97" s="155">
        <f>'Ward Selection'!D287</f>
        <v>5659606</v>
      </c>
      <c r="E97" s="105">
        <f>'Ward Selection'!E287</f>
        <v>25.7</v>
      </c>
      <c r="F97" s="155">
        <f>'Ward Selection'!F287</f>
        <v>593043</v>
      </c>
      <c r="G97" s="105">
        <f>'Ward Selection'!G287</f>
        <v>26.7</v>
      </c>
      <c r="H97" s="155">
        <f>'Ward Selection'!H287</f>
        <v>30992</v>
      </c>
      <c r="I97" s="105">
        <f>'Ward Selection'!I287</f>
        <v>30.8</v>
      </c>
      <c r="J97" s="155">
        <f>'Ward Selection'!J287</f>
        <v>1234</v>
      </c>
      <c r="K97" s="147">
        <f>'Ward Selection'!K287</f>
        <v>25.3</v>
      </c>
    </row>
    <row r="98" spans="1:11" s="5" customFormat="1" ht="38.25" x14ac:dyDescent="0.2">
      <c r="A98" s="28"/>
      <c r="B98" s="91" t="s">
        <v>10</v>
      </c>
      <c r="C98" s="66"/>
      <c r="D98" s="155">
        <f>'Ward Selection'!D288</f>
        <v>1019932</v>
      </c>
      <c r="E98" s="105">
        <f>'Ward Selection'!E288</f>
        <v>4.5999999999999996</v>
      </c>
      <c r="F98" s="155">
        <f>'Ward Selection'!F288</f>
        <v>102883</v>
      </c>
      <c r="G98" s="105">
        <f>'Ward Selection'!G288</f>
        <v>4.5999999999999996</v>
      </c>
      <c r="H98" s="155">
        <f>'Ward Selection'!H288</f>
        <v>5450</v>
      </c>
      <c r="I98" s="105">
        <f>'Ward Selection'!I288</f>
        <v>5.4</v>
      </c>
      <c r="J98" s="155">
        <f>'Ward Selection'!J288</f>
        <v>193</v>
      </c>
      <c r="K98" s="147">
        <f>'Ward Selection'!K288</f>
        <v>4</v>
      </c>
    </row>
    <row r="99" spans="1:11" s="5" customFormat="1" ht="38.25" x14ac:dyDescent="0.2">
      <c r="A99" s="29"/>
      <c r="B99" s="92" t="s">
        <v>11</v>
      </c>
      <c r="C99" s="70"/>
      <c r="D99" s="158">
        <f>'Ward Selection'!D289</f>
        <v>4639674</v>
      </c>
      <c r="E99" s="106">
        <f>'Ward Selection'!E289</f>
        <v>21</v>
      </c>
      <c r="F99" s="158">
        <f>'Ward Selection'!F289</f>
        <v>490160</v>
      </c>
      <c r="G99" s="106">
        <f>'Ward Selection'!G289</f>
        <v>22</v>
      </c>
      <c r="H99" s="158">
        <f>'Ward Selection'!H289</f>
        <v>25542</v>
      </c>
      <c r="I99" s="106">
        <f>'Ward Selection'!I289</f>
        <v>25.4</v>
      </c>
      <c r="J99" s="158">
        <f>'Ward Selection'!J289</f>
        <v>1041</v>
      </c>
      <c r="K99" s="148">
        <f>'Ward Selection'!K289</f>
        <v>21.3</v>
      </c>
    </row>
    <row r="100" spans="1:11" s="5" customFormat="1" x14ac:dyDescent="0.2">
      <c r="A100" s="104"/>
      <c r="B100" s="66"/>
      <c r="C100" s="66"/>
      <c r="D100" s="131"/>
      <c r="E100" s="70"/>
      <c r="F100" s="131"/>
      <c r="G100" s="152"/>
      <c r="H100" s="131"/>
      <c r="I100" s="70"/>
      <c r="J100" s="177"/>
      <c r="K100" s="175"/>
    </row>
    <row r="101" spans="1:11" s="5" customFormat="1" x14ac:dyDescent="0.2">
      <c r="A101" s="123" t="s">
        <v>409</v>
      </c>
      <c r="B101" s="129" t="s">
        <v>396</v>
      </c>
      <c r="C101" s="62"/>
      <c r="D101" s="133">
        <f>'Ward Selection'!D291</f>
        <v>38881374</v>
      </c>
      <c r="E101" s="68">
        <f>'Ward Selection'!E291</f>
        <v>100</v>
      </c>
      <c r="F101" s="133">
        <f>'Ward Selection'!F291</f>
        <v>3875219</v>
      </c>
      <c r="G101" s="68">
        <f>'Ward Selection'!G291</f>
        <v>100</v>
      </c>
      <c r="H101" s="133">
        <f>'Ward Selection'!H291</f>
        <v>170405</v>
      </c>
      <c r="I101" s="68">
        <f>'Ward Selection'!I291</f>
        <v>100</v>
      </c>
      <c r="J101" s="133">
        <f>'Ward Selection'!J291</f>
        <v>8422</v>
      </c>
      <c r="K101" s="176">
        <f>'Ward Selection'!K291</f>
        <v>100</v>
      </c>
    </row>
    <row r="102" spans="1:11" s="5" customFormat="1" x14ac:dyDescent="0.2">
      <c r="A102" s="125"/>
      <c r="B102" s="130" t="s">
        <v>397</v>
      </c>
      <c r="C102" s="66"/>
      <c r="D102" s="133">
        <f>'Ward Selection'!D292</f>
        <v>1349568</v>
      </c>
      <c r="E102" s="107">
        <f>'Ward Selection'!E292</f>
        <v>3.4709884480934239</v>
      </c>
      <c r="F102" s="133">
        <f>'Ward Selection'!F292</f>
        <v>110962</v>
      </c>
      <c r="G102" s="107">
        <f>'Ward Selection'!G292</f>
        <v>2.863373657075897</v>
      </c>
      <c r="H102" s="133">
        <f>'Ward Selection'!H292</f>
        <v>3516</v>
      </c>
      <c r="I102" s="107">
        <f>'Ward Selection'!I292</f>
        <v>2.0633197382705908</v>
      </c>
      <c r="J102" s="133">
        <f>'Ward Selection'!J292</f>
        <v>346</v>
      </c>
      <c r="K102" s="138">
        <f>'Ward Selection'!K292</f>
        <v>4.1082878176205178</v>
      </c>
    </row>
    <row r="103" spans="1:11" s="5" customFormat="1" x14ac:dyDescent="0.2">
      <c r="A103" s="125"/>
      <c r="B103" s="130" t="s">
        <v>398</v>
      </c>
      <c r="C103" s="66"/>
      <c r="D103" s="133">
        <f>'Ward Selection'!D293</f>
        <v>1027625</v>
      </c>
      <c r="E103" s="107">
        <f>'Ward Selection'!E293</f>
        <v>2.6429750142060309</v>
      </c>
      <c r="F103" s="133">
        <f>'Ward Selection'!F293</f>
        <v>10716</v>
      </c>
      <c r="G103" s="107">
        <f>'Ward Selection'!G293</f>
        <v>0.27652630728740746</v>
      </c>
      <c r="H103" s="133">
        <f>'Ward Selection'!H293</f>
        <v>118</v>
      </c>
      <c r="I103" s="107">
        <f>'Ward Selection'!I293</f>
        <v>6.924679440157272E-2</v>
      </c>
      <c r="J103" s="133">
        <f>'Ward Selection'!J293</f>
        <v>15</v>
      </c>
      <c r="K103" s="138">
        <f>'Ward Selection'!K293</f>
        <v>0.17810496319164093</v>
      </c>
    </row>
    <row r="104" spans="1:11" s="5" customFormat="1" x14ac:dyDescent="0.2">
      <c r="A104" s="125"/>
      <c r="B104" s="130" t="s">
        <v>399</v>
      </c>
      <c r="C104" s="66"/>
      <c r="D104" s="133">
        <f>'Ward Selection'!D294</f>
        <v>1343684</v>
      </c>
      <c r="E104" s="107">
        <f>'Ward Selection'!E294</f>
        <v>3.4558552380376271</v>
      </c>
      <c r="F104" s="133">
        <f>'Ward Selection'!F294</f>
        <v>58307</v>
      </c>
      <c r="G104" s="107">
        <f>'Ward Selection'!G294</f>
        <v>1.5046117393623433</v>
      </c>
      <c r="H104" s="133">
        <f>'Ward Selection'!H294</f>
        <v>2094</v>
      </c>
      <c r="I104" s="107">
        <f>'Ward Selection'!I294</f>
        <v>1.2288371820075703</v>
      </c>
      <c r="J104" s="133">
        <f>'Ward Selection'!J294</f>
        <v>130</v>
      </c>
      <c r="K104" s="138">
        <f>'Ward Selection'!K294</f>
        <v>1.5435763476608881</v>
      </c>
    </row>
    <row r="105" spans="1:11" s="5" customFormat="1" x14ac:dyDescent="0.2">
      <c r="A105" s="125"/>
      <c r="B105" s="130" t="s">
        <v>400</v>
      </c>
      <c r="C105" s="66"/>
      <c r="D105" s="133">
        <f>'Ward Selection'!D295</f>
        <v>1886539</v>
      </c>
      <c r="E105" s="107">
        <f>'Ward Selection'!E295</f>
        <v>4.8520378935168287</v>
      </c>
      <c r="F105" s="133">
        <f>'Ward Selection'!F295</f>
        <v>207114</v>
      </c>
      <c r="G105" s="107">
        <f>'Ward Selection'!G295</f>
        <v>5.3445753646439078</v>
      </c>
      <c r="H105" s="133">
        <f>'Ward Selection'!H295</f>
        <v>6570</v>
      </c>
      <c r="I105" s="107">
        <f>'Ward Selection'!I295</f>
        <v>3.8555206713418033</v>
      </c>
      <c r="J105" s="133">
        <f>'Ward Selection'!J295</f>
        <v>141</v>
      </c>
      <c r="K105" s="138">
        <f>'Ward Selection'!K295</f>
        <v>1.674186654001425</v>
      </c>
    </row>
    <row r="106" spans="1:11" s="5" customFormat="1" x14ac:dyDescent="0.2">
      <c r="A106" s="125"/>
      <c r="B106" s="130" t="s">
        <v>401</v>
      </c>
      <c r="C106" s="66"/>
      <c r="D106" s="133">
        <f>'Ward Selection'!D296</f>
        <v>131465</v>
      </c>
      <c r="E106" s="107">
        <f>'Ward Selection'!E296</f>
        <v>0.33811819510287883</v>
      </c>
      <c r="F106" s="133">
        <f>'Ward Selection'!F296</f>
        <v>16432</v>
      </c>
      <c r="G106" s="107">
        <f>'Ward Selection'!G296</f>
        <v>0.42402764850192987</v>
      </c>
      <c r="H106" s="133">
        <f>'Ward Selection'!H296</f>
        <v>493</v>
      </c>
      <c r="I106" s="107">
        <f>'Ward Selection'!I296</f>
        <v>0.2893107596608081</v>
      </c>
      <c r="J106" s="133">
        <f>'Ward Selection'!J296</f>
        <v>9</v>
      </c>
      <c r="K106" s="138">
        <f>'Ward Selection'!K296</f>
        <v>0.10686297791498457</v>
      </c>
    </row>
    <row r="107" spans="1:11" s="5" customFormat="1" x14ac:dyDescent="0.2">
      <c r="A107" s="125"/>
      <c r="B107" s="130" t="s">
        <v>402</v>
      </c>
      <c r="C107" s="66"/>
      <c r="D107" s="133">
        <f>'Ward Selection'!D297</f>
        <v>206550</v>
      </c>
      <c r="E107" s="107">
        <f>'Ward Selection'!E297</f>
        <v>0.53123122655079014</v>
      </c>
      <c r="F107" s="133">
        <f>'Ward Selection'!F297</f>
        <v>16173</v>
      </c>
      <c r="G107" s="107">
        <f>'Ward Selection'!G297</f>
        <v>0.41734415525935437</v>
      </c>
      <c r="H107" s="133">
        <f>'Ward Selection'!H297</f>
        <v>843</v>
      </c>
      <c r="I107" s="107">
        <f>'Ward Selection'!I297</f>
        <v>0.49470379390276104</v>
      </c>
      <c r="J107" s="133">
        <f>'Ward Selection'!J297</f>
        <v>44</v>
      </c>
      <c r="K107" s="138">
        <f>'Ward Selection'!K297</f>
        <v>0.52244122536214677</v>
      </c>
    </row>
    <row r="108" spans="1:11" s="5" customFormat="1" x14ac:dyDescent="0.2">
      <c r="A108" s="125"/>
      <c r="B108" s="130" t="s">
        <v>403</v>
      </c>
      <c r="C108" s="66"/>
      <c r="D108" s="133">
        <f>'Ward Selection'!D298</f>
        <v>14345882</v>
      </c>
      <c r="E108" s="107">
        <f>'Ward Selection'!E298</f>
        <v>36.896540744676358</v>
      </c>
      <c r="F108" s="133">
        <f>'Ward Selection'!F298</f>
        <v>1490020</v>
      </c>
      <c r="G108" s="107">
        <f>'Ward Selection'!G298</f>
        <v>38.449955989584069</v>
      </c>
      <c r="H108" s="133">
        <f>'Ward Selection'!H298</f>
        <v>70743</v>
      </c>
      <c r="I108" s="107">
        <f>'Ward Selection'!I298</f>
        <v>41.514626918224231</v>
      </c>
      <c r="J108" s="133">
        <f>'Ward Selection'!J298</f>
        <v>4249</v>
      </c>
      <c r="K108" s="138">
        <f>'Ward Selection'!K298</f>
        <v>50.451199240085487</v>
      </c>
    </row>
    <row r="109" spans="1:11" s="5" customFormat="1" x14ac:dyDescent="0.2">
      <c r="A109" s="125"/>
      <c r="B109" s="130" t="s">
        <v>404</v>
      </c>
      <c r="C109" s="66"/>
      <c r="D109" s="133">
        <f>'Ward Selection'!D299</f>
        <v>1264553</v>
      </c>
      <c r="E109" s="107">
        <f>'Ward Selection'!E299</f>
        <v>3.2523361957321777</v>
      </c>
      <c r="F109" s="133">
        <f>'Ward Selection'!F299</f>
        <v>155856</v>
      </c>
      <c r="G109" s="107">
        <f>'Ward Selection'!G299</f>
        <v>4.0218630224511189</v>
      </c>
      <c r="H109" s="133">
        <f>'Ward Selection'!H299</f>
        <v>7660</v>
      </c>
      <c r="I109" s="107">
        <f>'Ward Selection'!I299</f>
        <v>4.4951732636953148</v>
      </c>
      <c r="J109" s="133">
        <f>'Ward Selection'!J299</f>
        <v>294</v>
      </c>
      <c r="K109" s="138">
        <f>'Ward Selection'!K299</f>
        <v>3.4908572785561622</v>
      </c>
    </row>
    <row r="110" spans="1:11" s="5" customFormat="1" x14ac:dyDescent="0.2">
      <c r="A110" s="125"/>
      <c r="B110" s="130" t="s">
        <v>405</v>
      </c>
      <c r="C110" s="66"/>
      <c r="D110" s="133">
        <f>'Ward Selection'!D300</f>
        <v>742675</v>
      </c>
      <c r="E110" s="107">
        <f>'Ward Selection'!E300</f>
        <v>1.9101048229416995</v>
      </c>
      <c r="F110" s="133">
        <f>'Ward Selection'!F300</f>
        <v>62119</v>
      </c>
      <c r="G110" s="107">
        <f>'Ward Selection'!G300</f>
        <v>1.6029803734963106</v>
      </c>
      <c r="H110" s="133">
        <f>'Ward Selection'!H300</f>
        <v>720</v>
      </c>
      <c r="I110" s="107">
        <f>'Ward Selection'!I300</f>
        <v>0.42252281329773184</v>
      </c>
      <c r="J110" s="133">
        <f>'Ward Selection'!J300</f>
        <v>44</v>
      </c>
      <c r="K110" s="138">
        <f>'Ward Selection'!K300</f>
        <v>0.52244122536214677</v>
      </c>
    </row>
    <row r="111" spans="1:11" s="5" customFormat="1" x14ac:dyDescent="0.2">
      <c r="A111" s="125"/>
      <c r="B111" s="130" t="s">
        <v>406</v>
      </c>
      <c r="C111" s="66"/>
      <c r="D111" s="133">
        <f>'Ward Selection'!D301</f>
        <v>2701453</v>
      </c>
      <c r="E111" s="107">
        <f>'Ward Selection'!E301</f>
        <v>6.9479360477332923</v>
      </c>
      <c r="F111" s="133">
        <f>'Ward Selection'!F301</f>
        <v>285542</v>
      </c>
      <c r="G111" s="107">
        <f>'Ward Selection'!G301</f>
        <v>7.3684093724767559</v>
      </c>
      <c r="H111" s="133">
        <f>'Ward Selection'!H301</f>
        <v>10349</v>
      </c>
      <c r="I111" s="107">
        <f>'Ward Selection'!I301</f>
        <v>6.0731786039142044</v>
      </c>
      <c r="J111" s="133">
        <f>'Ward Selection'!J301</f>
        <v>561</v>
      </c>
      <c r="K111" s="138">
        <f>'Ward Selection'!K301</f>
        <v>6.6611256233673712</v>
      </c>
    </row>
    <row r="112" spans="1:11" s="5" customFormat="1" x14ac:dyDescent="0.2">
      <c r="A112" s="125"/>
      <c r="B112" s="130" t="s">
        <v>407</v>
      </c>
      <c r="C112" s="66"/>
      <c r="D112" s="133">
        <f>'Ward Selection'!D302</f>
        <v>162727</v>
      </c>
      <c r="E112" s="107">
        <f>'Ward Selection'!E302</f>
        <v>0.41852173228240336</v>
      </c>
      <c r="F112" s="133">
        <f>'Ward Selection'!F302</f>
        <v>14833</v>
      </c>
      <c r="G112" s="107">
        <f>'Ward Selection'!G302</f>
        <v>0.38276546435182118</v>
      </c>
      <c r="H112" s="133">
        <f>'Ward Selection'!H302</f>
        <v>473</v>
      </c>
      <c r="I112" s="107">
        <f>'Ward Selection'!I302</f>
        <v>0.27757401484698219</v>
      </c>
      <c r="J112" s="133">
        <f>'Ward Selection'!J302</f>
        <v>27</v>
      </c>
      <c r="K112" s="138">
        <f>'Ward Selection'!K302</f>
        <v>0.32058893374495367</v>
      </c>
    </row>
    <row r="113" spans="1:11" s="5" customFormat="1" ht="14.25" x14ac:dyDescent="0.2">
      <c r="A113" s="127"/>
      <c r="B113" s="131" t="s">
        <v>408</v>
      </c>
      <c r="C113" s="70"/>
      <c r="D113" s="134">
        <f>'Ward Selection'!D303</f>
        <v>13718653</v>
      </c>
      <c r="E113" s="108">
        <f>'Ward Selection'!E303</f>
        <v>35.283354441126491</v>
      </c>
      <c r="F113" s="134">
        <f>'Ward Selection'!F303</f>
        <v>1447145</v>
      </c>
      <c r="G113" s="108">
        <f>'Ward Selection'!G303</f>
        <v>37.343566905509086</v>
      </c>
      <c r="H113" s="183">
        <f>'Ward Selection'!H303</f>
        <v>66826</v>
      </c>
      <c r="I113" s="108">
        <f>'Ward Selection'!I303</f>
        <v>39.215985446436427</v>
      </c>
      <c r="J113" s="134">
        <f>'Ward Selection'!J303</f>
        <v>2562</v>
      </c>
      <c r="K113" s="139">
        <f>'Ward Selection'!K303</f>
        <v>30.420327713132274</v>
      </c>
    </row>
    <row r="114" spans="1:11" s="5" customFormat="1" x14ac:dyDescent="0.2">
      <c r="A114" s="26"/>
      <c r="G114" s="48"/>
      <c r="J114" s="55"/>
      <c r="K114" s="21"/>
    </row>
    <row r="115" spans="1:11" s="5" customFormat="1" ht="25.5" customHeight="1" x14ac:dyDescent="0.2">
      <c r="A115" s="26"/>
      <c r="G115" s="48"/>
      <c r="J115" s="55"/>
      <c r="K115" s="21"/>
    </row>
    <row r="116" spans="1:11" s="5" customFormat="1" ht="25.5" customHeight="1" x14ac:dyDescent="0.2">
      <c r="A116" s="26" t="s">
        <v>430</v>
      </c>
      <c r="B116" s="202" t="s">
        <v>411</v>
      </c>
      <c r="C116" s="196"/>
      <c r="D116" s="196"/>
      <c r="E116" s="196"/>
      <c r="F116" s="196"/>
      <c r="G116" s="196"/>
      <c r="H116" s="196"/>
      <c r="I116" s="196"/>
      <c r="J116" s="196"/>
      <c r="K116" s="197"/>
    </row>
    <row r="117" spans="1:11" s="5" customFormat="1" ht="39.75" customHeight="1" x14ac:dyDescent="0.2">
      <c r="A117" s="26"/>
      <c r="B117" s="195" t="s">
        <v>412</v>
      </c>
      <c r="C117" s="196"/>
      <c r="D117" s="196"/>
      <c r="E117" s="196"/>
      <c r="F117" s="196"/>
      <c r="G117" s="196"/>
      <c r="H117" s="196"/>
      <c r="I117" s="196"/>
      <c r="J117" s="196"/>
      <c r="K117" s="197"/>
    </row>
    <row r="118" spans="1:11" s="5" customFormat="1" ht="39.75" customHeight="1" x14ac:dyDescent="0.2">
      <c r="A118" s="26"/>
      <c r="B118" s="195" t="s">
        <v>413</v>
      </c>
      <c r="C118" s="196"/>
      <c r="D118" s="196"/>
      <c r="E118" s="196"/>
      <c r="F118" s="196"/>
      <c r="G118" s="196"/>
      <c r="H118" s="196"/>
      <c r="I118" s="196"/>
      <c r="J118" s="196"/>
      <c r="K118" s="197"/>
    </row>
    <row r="119" spans="1:11" s="5" customFormat="1" ht="43.5" customHeight="1" x14ac:dyDescent="0.2">
      <c r="A119" s="26"/>
      <c r="B119" s="195" t="s">
        <v>414</v>
      </c>
      <c r="C119" s="196"/>
      <c r="D119" s="196"/>
      <c r="E119" s="196"/>
      <c r="F119" s="196"/>
      <c r="G119" s="196"/>
      <c r="H119" s="196"/>
      <c r="I119" s="196"/>
      <c r="J119" s="196"/>
      <c r="K119" s="197"/>
    </row>
    <row r="120" spans="1:11" s="5" customFormat="1" x14ac:dyDescent="0.2">
      <c r="A120" s="26"/>
      <c r="B120" s="202" t="s">
        <v>415</v>
      </c>
      <c r="C120" s="196"/>
      <c r="D120" s="196"/>
      <c r="E120" s="196"/>
      <c r="F120" s="196"/>
      <c r="G120" s="196"/>
      <c r="H120" s="196"/>
      <c r="I120" s="196"/>
      <c r="J120" s="196"/>
      <c r="K120" s="197"/>
    </row>
    <row r="121" spans="1:11" s="5" customFormat="1" x14ac:dyDescent="0.2">
      <c r="A121" s="26"/>
      <c r="G121" s="48"/>
      <c r="J121" s="55"/>
      <c r="K121" s="21"/>
    </row>
    <row r="122" spans="1:11" s="145" customFormat="1" ht="141.75" customHeight="1" x14ac:dyDescent="0.2">
      <c r="A122" s="26"/>
      <c r="B122" s="203" t="s">
        <v>416</v>
      </c>
      <c r="C122" s="216"/>
      <c r="D122" s="216"/>
      <c r="E122" s="216"/>
      <c r="F122" s="216"/>
      <c r="G122" s="216"/>
      <c r="H122" s="216"/>
      <c r="I122" s="216"/>
      <c r="J122" s="216"/>
      <c r="K122" s="217"/>
    </row>
    <row r="123" spans="1:11" s="5" customFormat="1" hidden="1" x14ac:dyDescent="0.2">
      <c r="A123" s="26"/>
      <c r="G123" s="48"/>
      <c r="J123" s="55"/>
      <c r="K123" s="21"/>
    </row>
  </sheetData>
  <mergeCells count="9">
    <mergeCell ref="B119:K119"/>
    <mergeCell ref="B120:K120"/>
    <mergeCell ref="B122:K122"/>
    <mergeCell ref="B117:K117"/>
    <mergeCell ref="A1:B1"/>
    <mergeCell ref="D1:K1"/>
    <mergeCell ref="J2:K2"/>
    <mergeCell ref="B116:K116"/>
    <mergeCell ref="B118:K118"/>
  </mergeCells>
  <phoneticPr fontId="15" type="noConversion"/>
  <printOptions horizontalCentered="1"/>
  <pageMargins left="0.70866141732283472" right="0.70866141732283472" top="0.74803149606299213" bottom="0.74803149606299213" header="0.31496062992125984" footer="0.31496062992125984"/>
  <pageSetup paperSize="9" orientation="landscape" r:id="rId1"/>
  <rowBreaks count="5" manualBreakCount="5">
    <brk id="17" max="16383" man="1"/>
    <brk id="42" max="16383" man="1"/>
    <brk id="62" max="16383" man="1"/>
    <brk id="79" max="16383" man="1"/>
    <brk id="9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6E122FA1D82F947A4D668465133D25F" ma:contentTypeVersion="13" ma:contentTypeDescription="Create a new document." ma:contentTypeScope="" ma:versionID="b546d25c87834b92f3ccfa4208661807">
  <xsd:schema xmlns:xsd="http://www.w3.org/2001/XMLSchema" xmlns:xs="http://www.w3.org/2001/XMLSchema" xmlns:p="http://schemas.microsoft.com/office/2006/metadata/properties" xmlns:ns3="bd471001-9c92-4ad5-b6cc-d569a96249a1" xmlns:ns4="bb919a7a-1147-48b9-a042-f3804cf465b9" targetNamespace="http://schemas.microsoft.com/office/2006/metadata/properties" ma:root="true" ma:fieldsID="be1f6ea4b1118994901b7cc952042ffe" ns3:_="" ns4:_="">
    <xsd:import namespace="bd471001-9c92-4ad5-b6cc-d569a96249a1"/>
    <xsd:import namespace="bb919a7a-1147-48b9-a042-f3804cf465b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471001-9c92-4ad5-b6cc-d569a96249a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919a7a-1147-48b9-a042-f3804cf465b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1BF692-F2FD-4574-9D3A-1C8C80126CC8}">
  <ds:schemaRefs>
    <ds:schemaRef ds:uri="http://schemas.microsoft.com/sharepoint/v3/contenttype/forms"/>
  </ds:schemaRefs>
</ds:datastoreItem>
</file>

<file path=customXml/itemProps2.xml><?xml version="1.0" encoding="utf-8"?>
<ds:datastoreItem xmlns:ds="http://schemas.openxmlformats.org/officeDocument/2006/customXml" ds:itemID="{255881B4-E28D-4F64-8E15-3779864FF4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471001-9c92-4ad5-b6cc-d569a96249a1"/>
    <ds:schemaRef ds:uri="bb919a7a-1147-48b9-a042-f3804cf465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Sheet1</vt:lpstr>
      <vt:lpstr>WARD DATA</vt:lpstr>
      <vt:lpstr>Ward Selection</vt:lpstr>
      <vt:lpstr>Sheet3</vt:lpstr>
      <vt:lpstr>Sheet2</vt:lpstr>
      <vt:lpstr>Population &amp; Ethnicity</vt:lpstr>
      <vt:lpstr>Household Information</vt:lpstr>
      <vt:lpstr>Health</vt:lpstr>
      <vt:lpstr>Education &amp; Work</vt:lpstr>
      <vt:lpstr>Sheet8</vt:lpstr>
      <vt:lpstr>Sheet4</vt:lpstr>
      <vt:lpstr>'Education &amp; Work'!Print_Titles</vt:lpstr>
      <vt:lpstr>'Household Information'!Print_Titles</vt:lpstr>
      <vt:lpstr>'Population &amp; Ethnicity'!Print_Titles</vt:lpstr>
      <vt:lpstr>'Ward Selection'!Print_Titles</vt:lpstr>
    </vt:vector>
  </TitlesOfParts>
  <Company>BMBC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jamesl</dc:creator>
  <cp:lastModifiedBy>Roddison , Christopher (DIGITAL DEVELOPMENT LEAD)</cp:lastModifiedBy>
  <cp:lastPrinted>2013-04-23T14:29:26Z</cp:lastPrinted>
  <dcterms:created xsi:type="dcterms:W3CDTF">2013-02-12T15:28:48Z</dcterms:created>
  <dcterms:modified xsi:type="dcterms:W3CDTF">2020-08-25T07:24:08Z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0x010100B6E122FA1D82F947A4D668465133D25F</vt:lpwstr>
  </property>
</Properties>
</file>